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AGERST\$RSU\"/>
    </mc:Choice>
  </mc:AlternateContent>
  <bookViews>
    <workbookView xWindow="0" yWindow="0" windowWidth="20490" windowHeight="7755"/>
  </bookViews>
  <sheets>
    <sheet name="Receita Requerida" sheetId="2" r:id="rId1"/>
    <sheet name="inadimplencia" sheetId="5" r:id="rId2"/>
    <sheet name="Social" sheetId="4" r:id="rId3"/>
    <sheet name="Desp. Admin" sheetId="3" r:id="rId4"/>
    <sheet name="Custos Diretos" sheetId="1" r:id="rId5"/>
    <sheet name="Conesul Rural" sheetId="12" r:id="rId6"/>
    <sheet name="Conesul Convencional" sheetId="6" r:id="rId7"/>
    <sheet name="Conesul Mecan" sheetId="7" r:id="rId8"/>
    <sheet name="Conesul Seletiva" sheetId="8" r:id="rId9"/>
    <sheet name="Coomcat Coleta" sheetId="13" r:id="rId10"/>
    <sheet name="Coomcat Triagem" sheetId="14" r:id="rId11"/>
    <sheet name="Tazay Transp" sheetId="10" r:id="rId12"/>
    <sheet name="Conesul Transbordo" sheetId="9" r:id="rId13"/>
    <sheet name="CRVR" sheetId="11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3" l="1"/>
  <c r="C17" i="11"/>
  <c r="C17" i="9"/>
  <c r="C15" i="7"/>
  <c r="C15" i="6"/>
  <c r="C21" i="5" l="1"/>
  <c r="B27" i="5"/>
  <c r="B26" i="5"/>
  <c r="B25" i="5"/>
  <c r="B24" i="5"/>
  <c r="B15" i="4"/>
  <c r="B12" i="4"/>
  <c r="D19" i="4" l="1"/>
  <c r="C12" i="3"/>
  <c r="B12" i="3"/>
  <c r="M15" i="3"/>
  <c r="M16" i="3" l="1"/>
  <c r="M17" i="3" s="1"/>
  <c r="M20" i="3" s="1"/>
  <c r="D12" i="3" s="1"/>
  <c r="B16" i="4" l="1"/>
  <c r="E10" i="2" s="1"/>
  <c r="F2" i="11" l="1"/>
  <c r="F2" i="9"/>
  <c r="F24" i="10"/>
  <c r="F2" i="14"/>
  <c r="F2" i="13"/>
  <c r="F2" i="8"/>
  <c r="F2" i="7"/>
  <c r="F2" i="6"/>
  <c r="E11" i="5" l="1"/>
  <c r="B13" i="5" l="1"/>
  <c r="D10" i="5"/>
  <c r="E10" i="5" s="1"/>
  <c r="C15" i="14" l="1"/>
  <c r="C16" i="14" s="1"/>
  <c r="C17" i="14" s="1"/>
  <c r="D6" i="14" s="1"/>
  <c r="D7" i="14" s="1"/>
  <c r="D8" i="14" s="1"/>
  <c r="D9" i="14" s="1"/>
  <c r="D10" i="14" s="1"/>
  <c r="D11" i="14" s="1"/>
  <c r="D12" i="14" s="1"/>
  <c r="D13" i="14" s="1"/>
  <c r="C15" i="13"/>
  <c r="C16" i="13" s="1"/>
  <c r="C17" i="13" s="1"/>
  <c r="D6" i="13" s="1"/>
  <c r="D7" i="13" s="1"/>
  <c r="D8" i="13" s="1"/>
  <c r="D9" i="13" s="1"/>
  <c r="D10" i="13" s="1"/>
  <c r="D11" i="13" s="1"/>
  <c r="D12" i="13" s="1"/>
  <c r="D13" i="13" s="1"/>
  <c r="D6" i="1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6" i="9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26" i="10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25" i="10"/>
  <c r="C15" i="8"/>
  <c r="C16" i="8" s="1"/>
  <c r="C17" i="8" s="1"/>
  <c r="D6" i="8" s="1"/>
  <c r="D7" i="8" s="1"/>
  <c r="D8" i="8" s="1"/>
  <c r="D9" i="8" s="1"/>
  <c r="D10" i="8" s="1"/>
  <c r="D11" i="8" s="1"/>
  <c r="D12" i="8" s="1"/>
  <c r="D13" i="8" s="1"/>
  <c r="D14" i="8" s="1"/>
  <c r="C16" i="7"/>
  <c r="C17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C16" i="6"/>
  <c r="C17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8" i="12"/>
  <c r="D9" i="12" s="1"/>
  <c r="D10" i="12" s="1"/>
  <c r="D11" i="12" s="1"/>
  <c r="D12" i="12" s="1"/>
  <c r="D13" i="12" s="1"/>
  <c r="D14" i="12" s="1"/>
  <c r="D15" i="12" s="1"/>
  <c r="D16" i="12" s="1"/>
  <c r="D17" i="12" s="1"/>
  <c r="D7" i="12"/>
  <c r="D6" i="12"/>
  <c r="D16" i="6" l="1"/>
  <c r="D17" i="6" s="1"/>
  <c r="D14" i="14"/>
  <c r="D15" i="14" s="1"/>
  <c r="D16" i="14" s="1"/>
  <c r="D17" i="14" s="1"/>
  <c r="D14" i="13"/>
  <c r="D15" i="13" s="1"/>
  <c r="D16" i="13" s="1"/>
  <c r="D17" i="13" s="1"/>
  <c r="D15" i="8"/>
  <c r="D16" i="8" s="1"/>
  <c r="D17" i="8" s="1"/>
  <c r="D16" i="7"/>
  <c r="D17" i="7" s="1"/>
  <c r="E11" i="12"/>
  <c r="D18" i="8" l="1"/>
  <c r="B21" i="5"/>
  <c r="B22" i="5" s="1"/>
  <c r="D13" i="3" l="1"/>
  <c r="D8" i="2" s="1"/>
  <c r="C9" i="14"/>
  <c r="C6" i="11"/>
  <c r="B17" i="11"/>
  <c r="C6" i="9"/>
  <c r="B17" i="9"/>
  <c r="E30" i="10"/>
  <c r="E11" i="8"/>
  <c r="C6" i="8"/>
  <c r="B17" i="8"/>
  <c r="E11" i="7"/>
  <c r="C6" i="6"/>
  <c r="B17" i="6"/>
  <c r="E11" i="6"/>
  <c r="C6" i="12"/>
  <c r="B17" i="12"/>
  <c r="C18" i="7" l="1"/>
  <c r="D13" i="1"/>
  <c r="B17" i="14"/>
  <c r="B9" i="14"/>
  <c r="B8" i="14"/>
  <c r="B7" i="14"/>
  <c r="C7" i="14"/>
  <c r="C6" i="14"/>
  <c r="B14" i="11"/>
  <c r="B15" i="11"/>
  <c r="C11" i="11"/>
  <c r="B16" i="11"/>
  <c r="B13" i="11"/>
  <c r="B11" i="11"/>
  <c r="B12" i="11"/>
  <c r="B9" i="11"/>
  <c r="B10" i="11"/>
  <c r="B8" i="11"/>
  <c r="B15" i="9"/>
  <c r="B10" i="9"/>
  <c r="B8" i="9"/>
  <c r="B6" i="9"/>
  <c r="C19" i="9"/>
  <c r="B14" i="8"/>
  <c r="C18" i="8"/>
  <c r="E8" i="1" s="1"/>
  <c r="B18" i="8"/>
  <c r="D8" i="1" s="1"/>
  <c r="B18" i="13"/>
  <c r="B9" i="8"/>
  <c r="B13" i="8"/>
  <c r="B18" i="7"/>
  <c r="B15" i="7"/>
  <c r="B11" i="7"/>
  <c r="B14" i="7"/>
  <c r="B16" i="6" l="1"/>
  <c r="B15" i="6"/>
  <c r="B14" i="6"/>
  <c r="B13" i="6"/>
  <c r="B12" i="6"/>
  <c r="B11" i="6"/>
  <c r="B10" i="6"/>
  <c r="B9" i="6"/>
  <c r="B8" i="6"/>
  <c r="B7" i="6"/>
  <c r="C11" i="6"/>
  <c r="C10" i="6"/>
  <c r="C9" i="6"/>
  <c r="C8" i="6"/>
  <c r="C18" i="6" s="1"/>
  <c r="B9" i="12"/>
  <c r="B11" i="12"/>
  <c r="B10" i="12"/>
  <c r="B13" i="12"/>
  <c r="B16" i="12"/>
  <c r="B15" i="12"/>
  <c r="B14" i="12"/>
  <c r="B12" i="12"/>
  <c r="C9" i="12"/>
  <c r="C25" i="10"/>
  <c r="J17" i="10"/>
  <c r="N7" i="10" l="1"/>
  <c r="N8" i="10"/>
  <c r="N10" i="10"/>
  <c r="N11" i="10"/>
  <c r="N12" i="10"/>
  <c r="N13" i="10"/>
  <c r="N14" i="10"/>
  <c r="N15" i="10"/>
  <c r="N16" i="10"/>
  <c r="N17" i="10"/>
  <c r="N6" i="10"/>
  <c r="C28" i="10"/>
  <c r="C37" i="10" s="1"/>
  <c r="D37" i="10"/>
  <c r="B37" i="10"/>
  <c r="P18" i="10"/>
  <c r="O18" i="10"/>
  <c r="J18" i="10"/>
  <c r="L18" i="10"/>
  <c r="K18" i="10"/>
  <c r="B10" i="10"/>
  <c r="B11" i="10"/>
  <c r="B9" i="10"/>
  <c r="N9" i="10" s="1"/>
  <c r="H18" i="10"/>
  <c r="G18" i="10"/>
  <c r="F18" i="10"/>
  <c r="D18" i="14"/>
  <c r="C18" i="14"/>
  <c r="B18" i="14"/>
  <c r="D11" i="1" s="1"/>
  <c r="D18" i="13"/>
  <c r="C18" i="13"/>
  <c r="D10" i="1"/>
  <c r="D18" i="12"/>
  <c r="C18" i="12"/>
  <c r="B18" i="12"/>
  <c r="D9" i="1" s="1"/>
  <c r="F13" i="1" l="1"/>
  <c r="F11" i="1"/>
  <c r="F9" i="1"/>
  <c r="F10" i="1"/>
  <c r="E13" i="1"/>
  <c r="C39" i="10"/>
  <c r="E11" i="1"/>
  <c r="E10" i="1"/>
  <c r="E9" i="1"/>
  <c r="N18" i="10"/>
  <c r="B18" i="10"/>
  <c r="D18" i="11"/>
  <c r="C18" i="11"/>
  <c r="E14" i="1" s="1"/>
  <c r="B18" i="11"/>
  <c r="D14" i="1" s="1"/>
  <c r="E6" i="1"/>
  <c r="D18" i="10"/>
  <c r="C18" i="10"/>
  <c r="D18" i="9"/>
  <c r="C18" i="9"/>
  <c r="B18" i="9"/>
  <c r="D12" i="1" s="1"/>
  <c r="F8" i="1"/>
  <c r="C20" i="8"/>
  <c r="C19" i="13" s="1"/>
  <c r="C20" i="13" s="1"/>
  <c r="D18" i="7"/>
  <c r="D7" i="1"/>
  <c r="D18" i="6"/>
  <c r="B18" i="6"/>
  <c r="D6" i="1" s="1"/>
  <c r="F14" i="1" l="1"/>
  <c r="F12" i="1"/>
  <c r="F7" i="1"/>
  <c r="F6" i="1"/>
  <c r="D15" i="1"/>
  <c r="E12" i="1"/>
  <c r="C20" i="9"/>
  <c r="C19" i="11" s="1"/>
  <c r="C20" i="11" s="1"/>
  <c r="C19" i="14" s="1"/>
  <c r="C20" i="14" s="1"/>
  <c r="E7" i="1"/>
  <c r="C13" i="3"/>
  <c r="C8" i="2" s="1"/>
  <c r="B13" i="3"/>
  <c r="B8" i="2" s="1"/>
  <c r="C12" i="4" l="1"/>
  <c r="C10" i="2" s="1"/>
  <c r="B10" i="2"/>
  <c r="F15" i="1"/>
  <c r="E15" i="1"/>
  <c r="C7" i="2" s="1"/>
  <c r="B7" i="2"/>
  <c r="D7" i="2" l="1"/>
  <c r="G15" i="1"/>
  <c r="B12" i="2"/>
  <c r="C12" i="2"/>
  <c r="D9" i="2" l="1"/>
  <c r="D10" i="2" s="1"/>
  <c r="D11" i="2" l="1"/>
  <c r="D12" i="2" s="1"/>
  <c r="D16" i="2" s="1"/>
  <c r="D11" i="4"/>
  <c r="D12" i="4" s="1"/>
</calcChain>
</file>

<file path=xl/comments1.xml><?xml version="1.0" encoding="utf-8"?>
<comments xmlns="http://schemas.openxmlformats.org/spreadsheetml/2006/main">
  <authors>
    <author>Admin</author>
  </authors>
  <commentList>
    <comment ref="B11" authorId="0" shapeId="0">
      <text>
        <r>
          <rPr>
            <b/>
            <sz val="9"/>
            <color indexed="81"/>
            <rFont val="Segoe UI"/>
            <charset val="1"/>
          </rPr>
          <t>total descontos lançado ano</t>
        </r>
      </text>
    </comment>
    <comment ref="B12" authorId="0" shapeId="0">
      <text>
        <r>
          <rPr>
            <b/>
            <sz val="9"/>
            <color indexed="81"/>
            <rFont val="Segoe UI"/>
            <charset val="1"/>
          </rPr>
          <t>total descontos lançado ano</t>
        </r>
      </text>
    </comment>
  </commentList>
</comments>
</file>

<file path=xl/sharedStrings.xml><?xml version="1.0" encoding="utf-8"?>
<sst xmlns="http://schemas.openxmlformats.org/spreadsheetml/2006/main" count="487" uniqueCount="154">
  <si>
    <t>AGERST</t>
  </si>
  <si>
    <t>Transporte</t>
  </si>
  <si>
    <t>Transbordo</t>
  </si>
  <si>
    <t>Santa Cruz do Sul</t>
  </si>
  <si>
    <t>Incorrido</t>
  </si>
  <si>
    <t>Orçado</t>
  </si>
  <si>
    <t>Contratado</t>
  </si>
  <si>
    <t>Tazay Transportes Ltda.</t>
  </si>
  <si>
    <t>Coleta Convencional</t>
  </si>
  <si>
    <t>Documento</t>
  </si>
  <si>
    <t>Termo de Contrato 085/PGM/2018</t>
  </si>
  <si>
    <t>Cone Sul Soluções Ambientais Ltda.</t>
  </si>
  <si>
    <t>Contrato 218/PGM/2020</t>
  </si>
  <si>
    <t>Coleta Automatizada (containers)</t>
  </si>
  <si>
    <t>Contrato 219/PGM/2020</t>
  </si>
  <si>
    <t>Tratamento/Destinação Final</t>
  </si>
  <si>
    <t>CRVR</t>
  </si>
  <si>
    <t>Contrato 089/PGM/2022</t>
  </si>
  <si>
    <t>Coleta Seletiva</t>
  </si>
  <si>
    <t>Contrato 193/PGM/2022</t>
  </si>
  <si>
    <t>Custos Diretos</t>
  </si>
  <si>
    <t>Social</t>
  </si>
  <si>
    <t>Custo Regulatório (1%)</t>
  </si>
  <si>
    <t xml:space="preserve">    Total</t>
  </si>
  <si>
    <t>Estimado</t>
  </si>
  <si>
    <t>Calculo da Receita Requerida</t>
  </si>
  <si>
    <t>Inadimplência</t>
  </si>
  <si>
    <t>Despesas Indiretas</t>
  </si>
  <si>
    <t>Isenção (sub-habitação)</t>
  </si>
  <si>
    <t>Incentivos Sociais</t>
  </si>
  <si>
    <t xml:space="preserve">    TOTAL</t>
  </si>
  <si>
    <t>Fiscal Contratos</t>
  </si>
  <si>
    <t>Educação Ambiental</t>
  </si>
  <si>
    <t>xxxxxxxx</t>
  </si>
  <si>
    <t>Triagem</t>
  </si>
  <si>
    <t>Coomcat</t>
  </si>
  <si>
    <t>Contrato 362/PGM/2022</t>
  </si>
  <si>
    <t>Serviço</t>
  </si>
  <si>
    <t>Previsto</t>
  </si>
  <si>
    <t>CONSEUL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</si>
  <si>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</si>
  <si>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</si>
  <si>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</si>
  <si>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</si>
  <si>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</si>
  <si>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</si>
  <si>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</si>
  <si>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</si>
  <si>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</si>
  <si>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</si>
  <si>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</si>
  <si>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</si>
  <si>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 Total</t>
  </si>
  <si>
    <t>Liquidado</t>
  </si>
  <si>
    <t>Coleta Mecanizada</t>
  </si>
  <si>
    <t>TAZAY</t>
  </si>
  <si>
    <t>Coleta Rural</t>
  </si>
  <si>
    <t>Contrato 097/PGM/2020</t>
  </si>
  <si>
    <t>Termo Colab 040/PGM/2023</t>
  </si>
  <si>
    <t>Termo Colab 039/PGM/2023</t>
  </si>
  <si>
    <t>COOMCAT</t>
  </si>
  <si>
    <t>Termo Colaboração 040/2023</t>
  </si>
  <si>
    <t>Termo Colaboração 039/2023</t>
  </si>
  <si>
    <t>Transporte para TAZAY</t>
  </si>
  <si>
    <t>Nota3: O valor estimado para 2025 será projetado na LDO e LOA 2025, que ainda não foram produzidas.</t>
  </si>
  <si>
    <t>Termo de Contrato 084/PGM/2023</t>
  </si>
  <si>
    <t>Termo de Contrato 281/PGM/2023</t>
  </si>
  <si>
    <t>Termo de Contrato 4/PGM/2023</t>
  </si>
  <si>
    <t>Previsto Realizado</t>
  </si>
  <si>
    <t>TOTAL LIQUIDADO 2023</t>
  </si>
  <si>
    <t>Nota2: Para o valor previsto para 2024, informamou-se tambem  as dotações orçamentárias atualizadas em 25/06/2024</t>
  </si>
  <si>
    <t>Dotação  atualizada em 25/06/24  - Projeto 2167</t>
  </si>
  <si>
    <t>Saldo dotação  em 25/06/24  - Ação  2167</t>
  </si>
  <si>
    <t>Nota1: Para o valor previsto 2024 informou-se as liquidações ocorridas até 06/2024</t>
  </si>
  <si>
    <t>Nota4: Informou-se  os contratos 085/2018, 084/2023, 281/2023 e 323/2023</t>
  </si>
  <si>
    <t xml:space="preserve">Nota5: Saldo dotação da  Ação 2165 é  utilizada para empenhar os contratos   097/2020, 2018/2020 e 2019/2020. </t>
  </si>
  <si>
    <t>Nota2: Para o valor previsto para 2024, informamou-se tambem  as dotações orçamentárias atualizadas em 24/06/2024</t>
  </si>
  <si>
    <t>Nota4: Informou-se  o contrato 219/2020</t>
  </si>
  <si>
    <t>Nota4: Informou-se  o contrato 2018/2020</t>
  </si>
  <si>
    <t>Nota4: Informou-se  o contrato 97/2020</t>
  </si>
  <si>
    <t>Nota6: Empenhado liquidado em Janeiro/2024 é restos a pagar, não sendo considerado no saldo de dotação em 25/06/24</t>
  </si>
  <si>
    <t>Saldo dotação  em 25/06/24  - Ação  2168</t>
  </si>
  <si>
    <t>Dotação  atualizada em 25/06/24  - Projeto 2168 - Descontando contrato 193/2020</t>
  </si>
  <si>
    <t xml:space="preserve">Dotação  atualizada em 25/06/24  - Projeto 2168 </t>
  </si>
  <si>
    <t xml:space="preserve">Dotação  atualizada em 25/06/24  - Projeto 2166 </t>
  </si>
  <si>
    <t>Saldo dotação  em 25/06/24  - Ação  2166</t>
  </si>
  <si>
    <t>CONESUL</t>
  </si>
  <si>
    <t>Dotação  atualizada em 25/06/24  - Projeto 2166  - Descontando contrato 362/2022</t>
  </si>
  <si>
    <t>Dotação  atualizada em 25/06/24  - Projeto 2166  - Descontando contrato 362/2022 e 89/2022</t>
  </si>
  <si>
    <t>Nota5: Saldo dotação da  Ação 2168  é  utilizada para empenhar o contrato  193/2020 , TC 040/2023.</t>
  </si>
  <si>
    <t>Nota  1: Divisão de contabilidade não possui este tipo de informação.</t>
  </si>
  <si>
    <t>Sistema de Manejo de Resíduos Solidos - SMRS</t>
  </si>
  <si>
    <t xml:space="preserve">    Total Receita Requerida</t>
  </si>
  <si>
    <t>Contrato</t>
  </si>
  <si>
    <t>Inicio:</t>
  </si>
  <si>
    <t>vigência</t>
  </si>
  <si>
    <t>Contrato vigente</t>
  </si>
  <si>
    <t>indice reajuste</t>
  </si>
  <si>
    <t>IPCA</t>
  </si>
  <si>
    <t>Termo de colaboração</t>
  </si>
  <si>
    <t>?</t>
  </si>
  <si>
    <t>Termo de Colaboração</t>
  </si>
  <si>
    <t>Base 2018</t>
  </si>
  <si>
    <t>Valor lançado</t>
  </si>
  <si>
    <t>Recebimentos</t>
  </si>
  <si>
    <t xml:space="preserve"> antecipado final 2017</t>
  </si>
  <si>
    <t>por pgto antecipado</t>
  </si>
  <si>
    <t>Reajuste</t>
  </si>
  <si>
    <t>desconto 5%</t>
  </si>
  <si>
    <t>Vl Bruto</t>
  </si>
  <si>
    <t>Desconto</t>
  </si>
  <si>
    <t>desconto 5% 2018</t>
  </si>
  <si>
    <t>Em execução fiscal</t>
  </si>
  <si>
    <t>sobre valor lançado</t>
  </si>
  <si>
    <t>Desconto Pgto Antecipado (5%)</t>
  </si>
  <si>
    <t>Desconto Bom Pagador (3%)</t>
  </si>
  <si>
    <t>Desconto Energia Solar (4-6%)</t>
  </si>
  <si>
    <t>isenção por lei municipal</t>
  </si>
  <si>
    <t>Remissões</t>
  </si>
  <si>
    <t>a identificar no futuro</t>
  </si>
  <si>
    <t>Emissão carnê</t>
  </si>
  <si>
    <t>Desp. Administrativa</t>
  </si>
  <si>
    <t>assumido 5% considerando dificuldade de identificar qual o % real</t>
  </si>
  <si>
    <t>Outras</t>
  </si>
  <si>
    <t>Taxa Lançada</t>
  </si>
  <si>
    <t>Total desconto contabilizado</t>
  </si>
  <si>
    <t>percentual concedido em 2023</t>
  </si>
  <si>
    <t>Lançado como Taxa</t>
  </si>
  <si>
    <t>Subsidio 2025</t>
  </si>
  <si>
    <t>baseado em parâmetros despesa pessoal SEMMASS 2023</t>
  </si>
  <si>
    <t>assumido para modelagem inicial 2025</t>
  </si>
  <si>
    <t>CUSTOS COM SERVIDORES MUNICIPAIS – RESÍDUOS SOLIDOS</t>
  </si>
  <si>
    <t xml:space="preserve">% </t>
  </si>
  <si>
    <t>Função</t>
  </si>
  <si>
    <t>proventos 2023</t>
  </si>
  <si>
    <t>Vale</t>
  </si>
  <si>
    <t>considerado</t>
  </si>
  <si>
    <t>Total</t>
  </si>
  <si>
    <t>Secretário</t>
  </si>
  <si>
    <t>Diretor</t>
  </si>
  <si>
    <t>Agente Administrativo (Maurício)</t>
  </si>
  <si>
    <t>Agente Adm. Núcleo(Joselaine)</t>
  </si>
  <si>
    <t>Estagiário( Lucas)</t>
  </si>
  <si>
    <t>Engenheira  de Meio Ambiente  (Andreia)</t>
  </si>
  <si>
    <t>Balança (Álvaro)</t>
  </si>
  <si>
    <t>Balança(Antonio)</t>
  </si>
  <si>
    <t>INPC 2024</t>
  </si>
  <si>
    <t>Proj. 2025</t>
  </si>
  <si>
    <t xml:space="preserve">   Considerado para 2025</t>
  </si>
  <si>
    <t>Custo emissão carnê 2025</t>
  </si>
  <si>
    <t>Total Despesa Admin 2025</t>
  </si>
  <si>
    <t>rateio entre iptu e tx lixo</t>
  </si>
  <si>
    <t>dado estimado de 2023</t>
  </si>
  <si>
    <t>% do faturamento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</si>
</sst>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[$R$-416]\ #,##0.00;[Red]\-[$R$-416]\ #,##0.00"/>
    <numFmt numFmtId="166" formatCode="#,##0.00_ ;[Red]\-#,##0.00\ "/>
    <numFmt numFmtId="167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1"/>
      <name val="Segoe UI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0" fontId="2" fillId="0" borderId="0" xfId="0" applyFont="1"/>
    <xf numFmtId="43" fontId="0" fillId="0" borderId="0" xfId="0" applyNumberFormat="1"/>
    <xf numFmtId="43" fontId="3" fillId="0" borderId="0" xfId="0" applyNumberFormat="1" applyFont="1"/>
    <xf numFmtId="0" fontId="0" fillId="0" borderId="1" xfId="0" applyBorder="1"/>
    <xf numFmtId="43" fontId="0" fillId="0" borderId="1" xfId="1" applyFont="1" applyBorder="1"/>
    <xf numFmtId="0" fontId="0" fillId="0" borderId="2" xfId="0" applyBorder="1"/>
    <xf numFmtId="43" fontId="0" fillId="0" borderId="2" xfId="1" applyFont="1" applyBorder="1"/>
    <xf numFmtId="0" fontId="0" fillId="0" borderId="14" xfId="0" applyBorder="1"/>
    <xf numFmtId="43" fontId="0" fillId="0" borderId="14" xfId="1" applyFont="1" applyBorder="1"/>
    <xf numFmtId="0" fontId="0" fillId="0" borderId="3" xfId="0" applyBorder="1"/>
    <xf numFmtId="43" fontId="0" fillId="0" borderId="4" xfId="1" applyFont="1" applyBorder="1"/>
    <xf numFmtId="0" fontId="0" fillId="0" borderId="4" xfId="0" applyBorder="1"/>
    <xf numFmtId="43" fontId="0" fillId="0" borderId="5" xfId="1" applyFont="1" applyBorder="1"/>
    <xf numFmtId="0" fontId="0" fillId="0" borderId="21" xfId="0" applyBorder="1"/>
    <xf numFmtId="43" fontId="0" fillId="0" borderId="22" xfId="1" applyFont="1" applyBorder="1"/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43" fontId="0" fillId="0" borderId="8" xfId="1" applyFont="1" applyBorder="1"/>
    <xf numFmtId="44" fontId="0" fillId="0" borderId="0" xfId="0" applyNumberFormat="1"/>
    <xf numFmtId="0" fontId="3" fillId="3" borderId="1" xfId="0" applyFont="1" applyFill="1" applyBorder="1"/>
    <xf numFmtId="0" fontId="0" fillId="3" borderId="3" xfId="0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justify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3" fontId="3" fillId="3" borderId="1" xfId="1" applyFont="1" applyFill="1" applyBorder="1"/>
    <xf numFmtId="0" fontId="0" fillId="3" borderId="1" xfId="0" applyFill="1" applyBorder="1"/>
    <xf numFmtId="44" fontId="3" fillId="3" borderId="32" xfId="0" applyNumberFormat="1" applyFont="1" applyFill="1" applyBorder="1"/>
    <xf numFmtId="0" fontId="3" fillId="3" borderId="15" xfId="0" applyFont="1" applyFill="1" applyBorder="1"/>
    <xf numFmtId="43" fontId="3" fillId="3" borderId="16" xfId="1" applyFont="1" applyFill="1" applyBorder="1"/>
    <xf numFmtId="0" fontId="3" fillId="3" borderId="16" xfId="0" applyFont="1" applyFill="1" applyBorder="1"/>
    <xf numFmtId="43" fontId="3" fillId="3" borderId="17" xfId="1" applyFont="1" applyFill="1" applyBorder="1"/>
    <xf numFmtId="0" fontId="3" fillId="3" borderId="33" xfId="0" applyFont="1" applyFill="1" applyBorder="1"/>
    <xf numFmtId="0" fontId="3" fillId="3" borderId="17" xfId="0" applyFont="1" applyFill="1" applyBorder="1"/>
    <xf numFmtId="44" fontId="3" fillId="3" borderId="16" xfId="2" applyFont="1" applyFill="1" applyBorder="1"/>
    <xf numFmtId="0" fontId="0" fillId="3" borderId="17" xfId="0" applyFill="1" applyBorder="1"/>
    <xf numFmtId="0" fontId="3" fillId="3" borderId="1" xfId="0" applyFont="1" applyFill="1" applyBorder="1" applyAlignment="1">
      <alignment horizontal="center"/>
    </xf>
    <xf numFmtId="0" fontId="3" fillId="4" borderId="0" xfId="0" applyFont="1" applyFill="1"/>
    <xf numFmtId="44" fontId="3" fillId="4" borderId="0" xfId="0" applyNumberFormat="1" applyFont="1" applyFill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4" xfId="0" applyFont="1" applyFill="1" applyBorder="1"/>
    <xf numFmtId="0" fontId="3" fillId="3" borderId="23" xfId="0" applyFont="1" applyFill="1" applyBorder="1"/>
    <xf numFmtId="44" fontId="3" fillId="3" borderId="23" xfId="2" applyFont="1" applyFill="1" applyBorder="1"/>
    <xf numFmtId="0" fontId="0" fillId="3" borderId="35" xfId="0" applyFill="1" applyBorder="1"/>
    <xf numFmtId="43" fontId="0" fillId="3" borderId="16" xfId="1" applyFont="1" applyFill="1" applyBorder="1"/>
    <xf numFmtId="43" fontId="0" fillId="3" borderId="17" xfId="1" applyFont="1" applyFill="1" applyBorder="1"/>
    <xf numFmtId="44" fontId="0" fillId="0" borderId="0" xfId="2" applyFont="1"/>
    <xf numFmtId="0" fontId="0" fillId="3" borderId="15" xfId="0" applyFill="1" applyBorder="1"/>
    <xf numFmtId="43" fontId="1" fillId="3" borderId="16" xfId="1" applyFont="1" applyFill="1" applyBorder="1"/>
    <xf numFmtId="43" fontId="1" fillId="3" borderId="17" xfId="1" applyFont="1" applyFill="1" applyBorder="1"/>
    <xf numFmtId="0" fontId="0" fillId="0" borderId="40" xfId="0" applyBorder="1"/>
    <xf numFmtId="0" fontId="0" fillId="0" borderId="9" xfId="0" applyBorder="1"/>
    <xf numFmtId="43" fontId="0" fillId="0" borderId="13" xfId="1" applyFont="1" applyBorder="1"/>
    <xf numFmtId="0" fontId="5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3" xfId="0" applyFont="1" applyBorder="1"/>
    <xf numFmtId="43" fontId="5" fillId="0" borderId="4" xfId="1" applyFont="1" applyBorder="1"/>
    <xf numFmtId="0" fontId="5" fillId="0" borderId="4" xfId="0" applyFont="1" applyBorder="1"/>
    <xf numFmtId="43" fontId="5" fillId="0" borderId="5" xfId="1" applyFont="1" applyBorder="1"/>
    <xf numFmtId="0" fontId="5" fillId="0" borderId="21" xfId="0" applyFont="1" applyBorder="1"/>
    <xf numFmtId="43" fontId="5" fillId="0" borderId="1" xfId="1" applyFont="1" applyBorder="1"/>
    <xf numFmtId="0" fontId="5" fillId="0" borderId="1" xfId="0" applyFont="1" applyBorder="1"/>
    <xf numFmtId="43" fontId="5" fillId="0" borderId="2" xfId="1" applyFont="1" applyBorder="1"/>
    <xf numFmtId="43" fontId="5" fillId="0" borderId="22" xfId="1" applyFont="1" applyBorder="1"/>
    <xf numFmtId="0" fontId="5" fillId="0" borderId="6" xfId="0" applyFont="1" applyBorder="1"/>
    <xf numFmtId="43" fontId="5" fillId="0" borderId="7" xfId="1" applyFont="1" applyBorder="1"/>
    <xf numFmtId="0" fontId="5" fillId="0" borderId="7" xfId="0" applyFont="1" applyBorder="1"/>
    <xf numFmtId="43" fontId="5" fillId="0" borderId="23" xfId="1" applyFont="1" applyBorder="1"/>
    <xf numFmtId="43" fontId="5" fillId="0" borderId="8" xfId="1" applyFont="1" applyBorder="1"/>
    <xf numFmtId="0" fontId="4" fillId="3" borderId="15" xfId="0" applyFont="1" applyFill="1" applyBorder="1"/>
    <xf numFmtId="43" fontId="4" fillId="3" borderId="16" xfId="1" applyFont="1" applyFill="1" applyBorder="1"/>
    <xf numFmtId="0" fontId="4" fillId="3" borderId="16" xfId="0" applyFont="1" applyFill="1" applyBorder="1"/>
    <xf numFmtId="43" fontId="4" fillId="3" borderId="17" xfId="1" applyFont="1" applyFill="1" applyBorder="1"/>
    <xf numFmtId="0" fontId="5" fillId="0" borderId="0" xfId="0" applyFont="1"/>
    <xf numFmtId="0" fontId="4" fillId="3" borderId="4" xfId="0" applyFont="1" applyFill="1" applyBorder="1" applyAlignment="1">
      <alignment horizontal="center" vertical="justify"/>
    </xf>
    <xf numFmtId="0" fontId="5" fillId="0" borderId="2" xfId="0" applyFont="1" applyBorder="1"/>
    <xf numFmtId="0" fontId="5" fillId="0" borderId="14" xfId="0" applyFont="1" applyBorder="1"/>
    <xf numFmtId="43" fontId="5" fillId="0" borderId="14" xfId="1" applyFont="1" applyBorder="1"/>
    <xf numFmtId="44" fontId="4" fillId="3" borderId="16" xfId="2" applyFont="1" applyFill="1" applyBorder="1"/>
    <xf numFmtId="0" fontId="5" fillId="3" borderId="17" xfId="0" applyFont="1" applyFill="1" applyBorder="1"/>
    <xf numFmtId="0" fontId="4" fillId="3" borderId="33" xfId="0" applyFont="1" applyFill="1" applyBorder="1"/>
    <xf numFmtId="44" fontId="4" fillId="3" borderId="32" xfId="0" applyNumberFormat="1" applyFont="1" applyFill="1" applyBorder="1"/>
    <xf numFmtId="0" fontId="4" fillId="3" borderId="17" xfId="0" applyFont="1" applyFill="1" applyBorder="1"/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 vertical="justify"/>
    </xf>
    <xf numFmtId="0" fontId="3" fillId="3" borderId="46" xfId="0" applyFont="1" applyFill="1" applyBorder="1" applyAlignment="1">
      <alignment horizontal="center"/>
    </xf>
    <xf numFmtId="43" fontId="0" fillId="2" borderId="1" xfId="1" applyFont="1" applyFill="1" applyBorder="1"/>
    <xf numFmtId="43" fontId="0" fillId="2" borderId="14" xfId="1" applyFont="1" applyFill="1" applyBorder="1"/>
    <xf numFmtId="43" fontId="5" fillId="2" borderId="1" xfId="1" applyFont="1" applyFill="1" applyBorder="1"/>
    <xf numFmtId="43" fontId="0" fillId="2" borderId="2" xfId="1" applyFont="1" applyFill="1" applyBorder="1"/>
    <xf numFmtId="0" fontId="4" fillId="2" borderId="0" xfId="0" applyFont="1" applyFill="1"/>
    <xf numFmtId="0" fontId="5" fillId="2" borderId="0" xfId="0" applyFont="1" applyFill="1"/>
    <xf numFmtId="14" fontId="5" fillId="2" borderId="0" xfId="0" applyNumberFormat="1" applyFont="1" applyFill="1"/>
    <xf numFmtId="14" fontId="0" fillId="2" borderId="0" xfId="0" applyNumberForma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/>
    <xf numFmtId="43" fontId="3" fillId="0" borderId="0" xfId="1" applyFont="1"/>
    <xf numFmtId="43" fontId="3" fillId="2" borderId="1" xfId="1" applyFont="1" applyFill="1" applyBorder="1"/>
    <xf numFmtId="0" fontId="2" fillId="2" borderId="0" xfId="0" applyFont="1" applyFill="1"/>
    <xf numFmtId="43" fontId="2" fillId="2" borderId="1" xfId="1" applyFont="1" applyFill="1" applyBorder="1"/>
    <xf numFmtId="43" fontId="2" fillId="0" borderId="1" xfId="1" applyFont="1" applyBorder="1"/>
    <xf numFmtId="43" fontId="7" fillId="0" borderId="1" xfId="1" applyFont="1" applyBorder="1"/>
    <xf numFmtId="43" fontId="2" fillId="0" borderId="22" xfId="1" applyFont="1" applyBorder="1"/>
    <xf numFmtId="164" fontId="0" fillId="0" borderId="0" xfId="3" applyNumberFormat="1" applyFont="1"/>
    <xf numFmtId="10" fontId="0" fillId="0" borderId="0" xfId="3" applyNumberFormat="1" applyFont="1"/>
    <xf numFmtId="164" fontId="2" fillId="0" borderId="0" xfId="3" applyNumberFormat="1" applyFont="1"/>
    <xf numFmtId="43" fontId="3" fillId="0" borderId="47" xfId="0" applyNumberFormat="1" applyFont="1" applyBorder="1"/>
    <xf numFmtId="10" fontId="2" fillId="2" borderId="0" xfId="0" applyNumberFormat="1" applyFont="1" applyFill="1"/>
    <xf numFmtId="9" fontId="2" fillId="0" borderId="0" xfId="0" applyNumberFormat="1" applyFont="1"/>
    <xf numFmtId="43" fontId="0" fillId="0" borderId="0" xfId="0" applyNumberFormat="1" applyFill="1"/>
    <xf numFmtId="0" fontId="4" fillId="0" borderId="0" xfId="0" applyFont="1"/>
    <xf numFmtId="0" fontId="10" fillId="0" borderId="48" xfId="4" applyFont="1" applyBorder="1" applyAlignment="1">
      <alignment horizontal="center"/>
    </xf>
    <xf numFmtId="165" fontId="10" fillId="0" borderId="48" xfId="4" applyNumberFormat="1" applyFont="1" applyBorder="1" applyAlignment="1">
      <alignment horizontal="center"/>
    </xf>
    <xf numFmtId="0" fontId="11" fillId="0" borderId="48" xfId="4" applyFont="1" applyBorder="1" applyAlignment="1">
      <alignment horizontal="center"/>
    </xf>
    <xf numFmtId="165" fontId="11" fillId="5" borderId="48" xfId="4" applyNumberFormat="1" applyFont="1" applyFill="1" applyBorder="1" applyAlignment="1">
      <alignment horizontal="right"/>
    </xf>
    <xf numFmtId="10" fontId="11" fillId="0" borderId="48" xfId="4" applyNumberFormat="1" applyFont="1" applyBorder="1" applyAlignment="1">
      <alignment horizontal="right"/>
    </xf>
    <xf numFmtId="165" fontId="11" fillId="0" borderId="48" xfId="4" applyNumberFormat="1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166" fontId="4" fillId="6" borderId="49" xfId="4" applyNumberFormat="1" applyFont="1" applyFill="1" applyBorder="1"/>
    <xf numFmtId="10" fontId="11" fillId="0" borderId="0" xfId="4" applyNumberFormat="1" applyFont="1" applyFill="1" applyBorder="1" applyAlignment="1">
      <alignment horizontal="right"/>
    </xf>
    <xf numFmtId="43" fontId="5" fillId="0" borderId="0" xfId="1" applyFont="1"/>
    <xf numFmtId="165" fontId="5" fillId="0" borderId="0" xfId="0" applyNumberFormat="1" applyFont="1"/>
    <xf numFmtId="165" fontId="4" fillId="0" borderId="0" xfId="0" applyNumberFormat="1" applyFont="1"/>
    <xf numFmtId="43" fontId="12" fillId="0" borderId="0" xfId="1" applyFont="1"/>
    <xf numFmtId="165" fontId="4" fillId="2" borderId="0" xfId="0" applyNumberFormat="1" applyFont="1" applyFill="1"/>
    <xf numFmtId="10" fontId="11" fillId="2" borderId="0" xfId="4" applyNumberFormat="1" applyFont="1" applyFill="1" applyBorder="1" applyAlignment="1">
      <alignment horizontal="right"/>
    </xf>
    <xf numFmtId="43" fontId="12" fillId="2" borderId="0" xfId="1" applyFont="1" applyFill="1"/>
    <xf numFmtId="167" fontId="0" fillId="0" borderId="0" xfId="3" applyNumberFormat="1" applyFont="1"/>
    <xf numFmtId="43" fontId="3" fillId="2" borderId="0" xfId="0" applyNumberFormat="1" applyFont="1" applyFill="1"/>
    <xf numFmtId="9" fontId="0" fillId="0" borderId="0" xfId="3" applyFont="1"/>
    <xf numFmtId="10" fontId="0" fillId="2" borderId="0" xfId="3" applyNumberFormat="1" applyFont="1" applyFill="1"/>
    <xf numFmtId="0" fontId="3" fillId="3" borderId="0" xfId="0" applyFont="1" applyFill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32" xfId="0" applyFont="1" applyFill="1" applyBorder="1" applyAlignment="1">
      <alignment horizontal="left" vertical="justify"/>
    </xf>
    <xf numFmtId="0" fontId="3" fillId="3" borderId="36" xfId="0" applyFont="1" applyFill="1" applyBorder="1" applyAlignment="1">
      <alignment horizontal="left" vertical="justify"/>
    </xf>
    <xf numFmtId="0" fontId="3" fillId="3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3" borderId="38" xfId="0" applyFont="1" applyFill="1" applyBorder="1" applyAlignment="1">
      <alignment horizontal="left" vertical="justify"/>
    </xf>
    <xf numFmtId="0" fontId="3" fillId="3" borderId="39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7" xfId="0" applyFont="1" applyFill="1" applyBorder="1" applyAlignment="1">
      <alignment horizontal="left" vertical="justify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43" fontId="0" fillId="0" borderId="1" xfId="1" applyFont="1" applyFill="1" applyBorder="1"/>
    <xf numFmtId="43" fontId="2" fillId="0" borderId="1" xfId="1" applyFont="1" applyFill="1" applyBorder="1"/>
    <xf numFmtId="43" fontId="5" fillId="0" borderId="1" xfId="1" applyFont="1" applyFill="1" applyBorder="1"/>
    <xf numFmtId="43" fontId="3" fillId="0" borderId="16" xfId="1" applyFont="1" applyFill="1" applyBorder="1"/>
    <xf numFmtId="43" fontId="13" fillId="2" borderId="0" xfId="1" applyFont="1" applyFill="1"/>
  </cellXfs>
  <cellStyles count="5">
    <cellStyle name="Moeda" xfId="2" builtinId="4"/>
    <cellStyle name="Normal" xfId="0" builtinId="0"/>
    <cellStyle name="Normal 3" xfId="4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tabSelected="1" zoomScale="112" zoomScaleNormal="112" workbookViewId="0">
      <selection activeCell="D12" sqref="D12"/>
    </sheetView>
  </sheetViews>
  <sheetFormatPr defaultRowHeight="15" x14ac:dyDescent="0.25"/>
  <cols>
    <col min="1" max="1" width="27" customWidth="1"/>
    <col min="2" max="3" width="15.7109375" customWidth="1"/>
    <col min="4" max="4" width="14.7109375" customWidth="1"/>
    <col min="5" max="5" width="11.5703125" bestFit="1" customWidth="1"/>
  </cols>
  <sheetData>
    <row r="1" spans="1:6" x14ac:dyDescent="0.25">
      <c r="A1" s="1" t="s">
        <v>0</v>
      </c>
    </row>
    <row r="2" spans="1:6" x14ac:dyDescent="0.25">
      <c r="A2" s="1" t="s">
        <v>91</v>
      </c>
    </row>
    <row r="3" spans="1:6" x14ac:dyDescent="0.25">
      <c r="A3" s="1" t="s">
        <v>25</v>
      </c>
    </row>
    <row r="5" spans="1:6" x14ac:dyDescent="0.25">
      <c r="B5" s="2"/>
      <c r="C5" s="2" t="s">
        <v>24</v>
      </c>
      <c r="D5" s="2" t="s">
        <v>5</v>
      </c>
    </row>
    <row r="6" spans="1:6" x14ac:dyDescent="0.25">
      <c r="B6" s="2">
        <v>2023</v>
      </c>
      <c r="C6" s="2">
        <v>2024</v>
      </c>
      <c r="D6" s="2">
        <v>2025</v>
      </c>
    </row>
    <row r="7" spans="1:6" x14ac:dyDescent="0.25">
      <c r="A7" t="s">
        <v>20</v>
      </c>
      <c r="B7" s="5">
        <f>'Custos Diretos'!D15</f>
        <v>15270927.299999999</v>
      </c>
      <c r="C7" s="5">
        <f>'Custos Diretos'!E15</f>
        <v>17588066.185020801</v>
      </c>
      <c r="D7" s="5">
        <f>'Custos Diretos'!F15</f>
        <v>19661394.425184015</v>
      </c>
    </row>
    <row r="8" spans="1:6" x14ac:dyDescent="0.25">
      <c r="A8" t="s">
        <v>121</v>
      </c>
      <c r="B8" s="5">
        <f>'Desp. Admin'!B13</f>
        <v>563220.38299999991</v>
      </c>
      <c r="C8" s="5">
        <f>'Desp. Admin'!C13</f>
        <v>606588.35249099997</v>
      </c>
      <c r="D8" s="5">
        <f>'Desp. Admin'!D13</f>
        <v>857406.61590864719</v>
      </c>
      <c r="E8" t="s">
        <v>129</v>
      </c>
    </row>
    <row r="9" spans="1:6" x14ac:dyDescent="0.25">
      <c r="A9" t="s">
        <v>26</v>
      </c>
      <c r="B9" s="5">
        <v>0</v>
      </c>
      <c r="C9" s="5">
        <v>0</v>
      </c>
      <c r="D9" s="5">
        <f>(D7+D8)*5%</f>
        <v>1025940.0520546333</v>
      </c>
      <c r="E9" t="s">
        <v>122</v>
      </c>
    </row>
    <row r="10" spans="1:6" x14ac:dyDescent="0.25">
      <c r="A10" t="s">
        <v>21</v>
      </c>
      <c r="B10" s="5">
        <f>Social!B12</f>
        <v>689932.43</v>
      </c>
      <c r="C10" s="5">
        <f>Social!C12</f>
        <v>0</v>
      </c>
      <c r="D10" s="5">
        <f>(D7+D8+D9)*E10</f>
        <v>1041617.4190722504</v>
      </c>
      <c r="E10" s="120">
        <f>Social!B16</f>
        <v>4.8346713221982328E-2</v>
      </c>
      <c r="F10" t="s">
        <v>126</v>
      </c>
    </row>
    <row r="11" spans="1:6" ht="15.75" thickBot="1" x14ac:dyDescent="0.3">
      <c r="A11" t="s">
        <v>22</v>
      </c>
      <c r="B11" s="5">
        <v>0</v>
      </c>
      <c r="C11" s="124">
        <v>148975.99</v>
      </c>
      <c r="D11" s="5">
        <f>SUM(D7:D10)/0.99*1%</f>
        <v>228145.03547696513</v>
      </c>
    </row>
    <row r="12" spans="1:6" ht="15.75" thickBot="1" x14ac:dyDescent="0.3">
      <c r="A12" s="2" t="s">
        <v>92</v>
      </c>
      <c r="B12" s="6">
        <f>SUM(B7:B11)</f>
        <v>16524080.112999998</v>
      </c>
      <c r="C12" s="6">
        <f>SUM(C7:C11)</f>
        <v>18343630.527511798</v>
      </c>
      <c r="D12" s="121">
        <f>SUM(D7:D11)</f>
        <v>22814503.547696512</v>
      </c>
      <c r="E12" s="5"/>
    </row>
    <row r="14" spans="1:6" x14ac:dyDescent="0.25">
      <c r="A14" s="1" t="s">
        <v>127</v>
      </c>
      <c r="B14" s="1"/>
      <c r="C14" s="1"/>
      <c r="D14" s="111">
        <v>15882375.220000001</v>
      </c>
      <c r="E14" s="5"/>
    </row>
    <row r="16" spans="1:6" x14ac:dyDescent="0.25">
      <c r="C16" s="1" t="s">
        <v>128</v>
      </c>
      <c r="D16" s="6">
        <f>D12-D14</f>
        <v>6932128.3276965115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topLeftCell="A3" workbookViewId="0">
      <selection activeCell="C22" sqref="C22"/>
    </sheetView>
  </sheetViews>
  <sheetFormatPr defaultRowHeight="15" x14ac:dyDescent="0.25"/>
  <cols>
    <col min="1" max="1" width="20.42578125" customWidth="1"/>
    <col min="2" max="3" width="15.7109375" customWidth="1"/>
    <col min="4" max="4" width="12.85546875" customWidth="1"/>
    <col min="5" max="5" width="11.5703125" bestFit="1" customWidth="1"/>
  </cols>
  <sheetData>
    <row r="1" spans="1:6" x14ac:dyDescent="0.25">
      <c r="A1" s="1" t="s">
        <v>0</v>
      </c>
    </row>
    <row r="2" spans="1:6" x14ac:dyDescent="0.25">
      <c r="A2" s="1" t="s">
        <v>91</v>
      </c>
    </row>
    <row r="3" spans="1:6" x14ac:dyDescent="0.25">
      <c r="A3" s="1" t="s">
        <v>3</v>
      </c>
    </row>
    <row r="4" spans="1:6" x14ac:dyDescent="0.25">
      <c r="A4" s="1" t="s">
        <v>26</v>
      </c>
    </row>
    <row r="5" spans="1:6" x14ac:dyDescent="0.25">
      <c r="A5" s="1" t="s">
        <v>102</v>
      </c>
    </row>
    <row r="7" spans="1:6" x14ac:dyDescent="0.25">
      <c r="A7" s="1" t="s">
        <v>103</v>
      </c>
      <c r="B7" s="3">
        <v>8349991.7000000002</v>
      </c>
    </row>
    <row r="8" spans="1:6" x14ac:dyDescent="0.25">
      <c r="B8" s="3"/>
    </row>
    <row r="9" spans="1:6" x14ac:dyDescent="0.25">
      <c r="A9" s="1" t="s">
        <v>104</v>
      </c>
      <c r="B9" s="3"/>
      <c r="D9" t="s">
        <v>109</v>
      </c>
      <c r="E9" t="s">
        <v>110</v>
      </c>
    </row>
    <row r="10" spans="1:6" x14ac:dyDescent="0.25">
      <c r="A10" t="s">
        <v>105</v>
      </c>
      <c r="B10" s="3">
        <v>3111360.78</v>
      </c>
      <c r="C10" t="s">
        <v>108</v>
      </c>
      <c r="D10" s="5">
        <f>B10/0.95</f>
        <v>3275116.6105263159</v>
      </c>
      <c r="E10" s="5">
        <f>D10-B10</f>
        <v>163755.83052631607</v>
      </c>
    </row>
    <row r="11" spans="1:6" x14ac:dyDescent="0.25">
      <c r="B11" s="3"/>
      <c r="E11" s="118">
        <f>E10/B7</f>
        <v>1.9611496203800545E-2</v>
      </c>
      <c r="F11" t="s">
        <v>113</v>
      </c>
    </row>
    <row r="12" spans="1:6" x14ac:dyDescent="0.25">
      <c r="A12">
        <v>2018</v>
      </c>
      <c r="B12" s="3">
        <v>3475851.28</v>
      </c>
    </row>
    <row r="13" spans="1:6" x14ac:dyDescent="0.25">
      <c r="A13" t="s">
        <v>111</v>
      </c>
      <c r="B13" s="3">
        <f>E10</f>
        <v>163755.83052631607</v>
      </c>
      <c r="C13" t="s">
        <v>106</v>
      </c>
    </row>
    <row r="14" spans="1:6" x14ac:dyDescent="0.25">
      <c r="A14">
        <v>2019</v>
      </c>
      <c r="B14" s="3">
        <v>318141.06</v>
      </c>
    </row>
    <row r="15" spans="1:6" x14ac:dyDescent="0.25">
      <c r="A15">
        <v>2020</v>
      </c>
      <c r="B15" s="3">
        <v>72310.05</v>
      </c>
    </row>
    <row r="16" spans="1:6" x14ac:dyDescent="0.25">
      <c r="A16">
        <v>2021</v>
      </c>
      <c r="B16" s="3">
        <v>53309.47</v>
      </c>
    </row>
    <row r="17" spans="1:4" x14ac:dyDescent="0.25">
      <c r="A17">
        <v>2022</v>
      </c>
      <c r="B17" s="3">
        <v>29714.41</v>
      </c>
    </row>
    <row r="18" spans="1:4" x14ac:dyDescent="0.25">
      <c r="A18">
        <v>2023</v>
      </c>
      <c r="B18" s="3">
        <v>1102.7</v>
      </c>
    </row>
    <row r="19" spans="1:4" x14ac:dyDescent="0.25">
      <c r="A19">
        <v>2024</v>
      </c>
      <c r="B19" s="3">
        <v>789.86</v>
      </c>
    </row>
    <row r="20" spans="1:4" x14ac:dyDescent="0.25">
      <c r="A20" t="s">
        <v>112</v>
      </c>
      <c r="B20" s="3">
        <v>373307.29</v>
      </c>
    </row>
    <row r="21" spans="1:4" x14ac:dyDescent="0.25">
      <c r="B21" s="111">
        <f>B7-SUM(B10:B20)</f>
        <v>750348.96947368514</v>
      </c>
      <c r="C21" s="146">
        <f>B20/B7</f>
        <v>4.470750432003423E-2</v>
      </c>
    </row>
    <row r="22" spans="1:4" x14ac:dyDescent="0.25">
      <c r="B22" s="120">
        <f>B21/B7</f>
        <v>8.9862241356920766E-2</v>
      </c>
      <c r="C22" s="123">
        <v>0.05</v>
      </c>
      <c r="D22" t="s">
        <v>130</v>
      </c>
    </row>
    <row r="23" spans="1:4" x14ac:dyDescent="0.25">
      <c r="B23" s="3"/>
    </row>
    <row r="24" spans="1:4" x14ac:dyDescent="0.25">
      <c r="B24" s="5">
        <f>B7</f>
        <v>8349991.7000000002</v>
      </c>
    </row>
    <row r="25" spans="1:4" x14ac:dyDescent="0.25">
      <c r="B25" s="5">
        <f>B10+B12+B13</f>
        <v>6750967.8905263152</v>
      </c>
    </row>
    <row r="26" spans="1:4" x14ac:dyDescent="0.25">
      <c r="B26" s="5">
        <f>B24-B25</f>
        <v>1599023.809473685</v>
      </c>
    </row>
    <row r="27" spans="1:4" x14ac:dyDescent="0.25">
      <c r="B27" s="145">
        <f>B26/B24</f>
        <v>0.19150004777533911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workbookViewId="0">
      <selection activeCell="B15" sqref="B15"/>
    </sheetView>
  </sheetViews>
  <sheetFormatPr defaultRowHeight="15" x14ac:dyDescent="0.25"/>
  <cols>
    <col min="1" max="1" width="29.42578125" customWidth="1"/>
    <col min="2" max="4" width="15.7109375" customWidth="1"/>
  </cols>
  <sheetData>
    <row r="1" spans="1:5" x14ac:dyDescent="0.25">
      <c r="A1" s="1" t="s">
        <v>0</v>
      </c>
    </row>
    <row r="2" spans="1:5" x14ac:dyDescent="0.25">
      <c r="A2" s="1" t="s">
        <v>91</v>
      </c>
    </row>
    <row r="3" spans="1:5" x14ac:dyDescent="0.25">
      <c r="A3" s="1" t="s">
        <v>29</v>
      </c>
    </row>
    <row r="4" spans="1:5" x14ac:dyDescent="0.25">
      <c r="B4" s="2"/>
      <c r="C4" s="2" t="s">
        <v>24</v>
      </c>
      <c r="D4" s="2" t="s">
        <v>5</v>
      </c>
    </row>
    <row r="5" spans="1:5" x14ac:dyDescent="0.25">
      <c r="B5" s="2">
        <v>2023</v>
      </c>
      <c r="C5" s="2">
        <v>2024</v>
      </c>
      <c r="D5" s="2">
        <v>2025</v>
      </c>
    </row>
    <row r="6" spans="1:5" x14ac:dyDescent="0.25">
      <c r="A6" t="s">
        <v>114</v>
      </c>
      <c r="B6" s="3">
        <v>0</v>
      </c>
      <c r="C6" s="3"/>
      <c r="D6" s="3"/>
    </row>
    <row r="7" spans="1:5" x14ac:dyDescent="0.25">
      <c r="A7" t="s">
        <v>115</v>
      </c>
      <c r="B7" s="3"/>
      <c r="C7" s="3"/>
      <c r="D7" s="3"/>
    </row>
    <row r="8" spans="1:5" x14ac:dyDescent="0.25">
      <c r="A8" t="s">
        <v>116</v>
      </c>
      <c r="B8" s="3"/>
      <c r="C8" s="3"/>
      <c r="D8" s="3"/>
    </row>
    <row r="9" spans="1:5" x14ac:dyDescent="0.25">
      <c r="A9" t="s">
        <v>28</v>
      </c>
      <c r="B9" s="3"/>
      <c r="C9" s="3"/>
      <c r="D9" s="3"/>
      <c r="E9" t="s">
        <v>117</v>
      </c>
    </row>
    <row r="10" spans="1:5" x14ac:dyDescent="0.25">
      <c r="A10" t="s">
        <v>118</v>
      </c>
      <c r="B10" s="3">
        <v>28619.03</v>
      </c>
      <c r="C10" s="3"/>
      <c r="D10" s="3"/>
      <c r="E10" t="s">
        <v>152</v>
      </c>
    </row>
    <row r="11" spans="1:5" x14ac:dyDescent="0.25">
      <c r="A11" t="s">
        <v>123</v>
      </c>
      <c r="B11" s="3">
        <v>661313.4</v>
      </c>
      <c r="C11" s="3"/>
      <c r="D11" s="3">
        <f>'Receita Requerida'!D10</f>
        <v>1041617.4190722504</v>
      </c>
      <c r="E11" t="s">
        <v>119</v>
      </c>
    </row>
    <row r="12" spans="1:5" x14ac:dyDescent="0.25">
      <c r="A12" s="1" t="s">
        <v>30</v>
      </c>
      <c r="B12" s="111">
        <f>B10+B11</f>
        <v>689932.43</v>
      </c>
      <c r="C12" s="3">
        <f>SUM(C6:C11)</f>
        <v>0</v>
      </c>
      <c r="D12" s="111">
        <f>SUM(D6:D11)</f>
        <v>1041617.4190722504</v>
      </c>
    </row>
    <row r="14" spans="1:5" x14ac:dyDescent="0.25">
      <c r="A14" s="1" t="s">
        <v>124</v>
      </c>
      <c r="B14" s="111">
        <v>14270513.630000001</v>
      </c>
      <c r="C14" s="144">
        <v>14897599</v>
      </c>
      <c r="D14" s="111">
        <v>15882375.220000001</v>
      </c>
    </row>
    <row r="15" spans="1:5" x14ac:dyDescent="0.25">
      <c r="A15" s="1" t="s">
        <v>125</v>
      </c>
      <c r="B15" s="6">
        <f>B12</f>
        <v>689932.43</v>
      </c>
      <c r="C15" s="1"/>
      <c r="D15" s="1"/>
    </row>
    <row r="16" spans="1:5" x14ac:dyDescent="0.25">
      <c r="B16" s="120">
        <f>B15/B14</f>
        <v>4.8346713221982328E-2</v>
      </c>
    </row>
    <row r="17" spans="3:4" x14ac:dyDescent="0.25">
      <c r="C17" s="119"/>
      <c r="D17" s="119"/>
    </row>
    <row r="18" spans="3:4" x14ac:dyDescent="0.25">
      <c r="C18">
        <v>413.05</v>
      </c>
      <c r="D18">
        <v>430.65</v>
      </c>
    </row>
    <row r="19" spans="3:4" x14ac:dyDescent="0.25">
      <c r="D19" s="143">
        <f>D18/C18-1</f>
        <v>4.2609853528628339E-2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"/>
  <sheetViews>
    <sheetView topLeftCell="C3" zoomScale="118" zoomScaleNormal="118" workbookViewId="0">
      <selection activeCell="M19" sqref="M19"/>
    </sheetView>
  </sheetViews>
  <sheetFormatPr defaultRowHeight="15" x14ac:dyDescent="0.25"/>
  <cols>
    <col min="1" max="1" width="19.42578125" customWidth="1"/>
    <col min="2" max="3" width="15.7109375" customWidth="1"/>
    <col min="4" max="4" width="13.140625" customWidth="1"/>
    <col min="9" max="9" width="14.140625" customWidth="1"/>
    <col min="10" max="10" width="13.140625" customWidth="1"/>
    <col min="12" max="12" width="11" customWidth="1"/>
    <col min="13" max="13" width="13.5703125" customWidth="1"/>
  </cols>
  <sheetData>
    <row r="1" spans="1:13" x14ac:dyDescent="0.25">
      <c r="A1" s="1" t="s">
        <v>0</v>
      </c>
    </row>
    <row r="2" spans="1:13" x14ac:dyDescent="0.25">
      <c r="A2" s="1" t="s">
        <v>91</v>
      </c>
    </row>
    <row r="3" spans="1:13" x14ac:dyDescent="0.25">
      <c r="A3" s="1" t="s">
        <v>27</v>
      </c>
    </row>
    <row r="4" spans="1:13" x14ac:dyDescent="0.25">
      <c r="I4" s="125" t="s">
        <v>131</v>
      </c>
      <c r="J4" s="87"/>
      <c r="K4" s="87"/>
      <c r="L4" s="126" t="s">
        <v>132</v>
      </c>
      <c r="M4" s="87"/>
    </row>
    <row r="5" spans="1:13" x14ac:dyDescent="0.25">
      <c r="B5" s="2"/>
      <c r="C5" s="2" t="s">
        <v>24</v>
      </c>
      <c r="D5" s="2" t="s">
        <v>5</v>
      </c>
      <c r="I5" s="126" t="s">
        <v>133</v>
      </c>
      <c r="J5" s="127" t="s">
        <v>134</v>
      </c>
      <c r="K5" s="126" t="s">
        <v>135</v>
      </c>
      <c r="L5" s="126" t="s">
        <v>136</v>
      </c>
      <c r="M5" s="126" t="s">
        <v>137</v>
      </c>
    </row>
    <row r="6" spans="1:13" x14ac:dyDescent="0.25">
      <c r="B6" s="2">
        <v>2023</v>
      </c>
      <c r="C6" s="2">
        <v>2024</v>
      </c>
      <c r="D6" s="2">
        <v>2025</v>
      </c>
      <c r="I6" s="128" t="s">
        <v>138</v>
      </c>
      <c r="J6" s="129">
        <v>269892.63</v>
      </c>
      <c r="K6" s="129">
        <v>0</v>
      </c>
      <c r="L6" s="130">
        <v>0.5</v>
      </c>
      <c r="M6" s="131">
        <v>134946.315</v>
      </c>
    </row>
    <row r="7" spans="1:13" x14ac:dyDescent="0.25">
      <c r="A7" t="s">
        <v>31</v>
      </c>
      <c r="B7" s="3"/>
      <c r="C7" s="3"/>
      <c r="D7" s="3"/>
      <c r="I7" s="128" t="s">
        <v>139</v>
      </c>
      <c r="J7" s="129">
        <v>123287.74</v>
      </c>
      <c r="K7" s="129">
        <v>9500</v>
      </c>
      <c r="L7" s="130">
        <v>0.5</v>
      </c>
      <c r="M7" s="131">
        <v>66393.87</v>
      </c>
    </row>
    <row r="8" spans="1:13" x14ac:dyDescent="0.25">
      <c r="A8" t="s">
        <v>32</v>
      </c>
      <c r="B8" s="3"/>
      <c r="C8" s="3"/>
      <c r="D8" s="3"/>
      <c r="I8" s="128" t="s">
        <v>140</v>
      </c>
      <c r="J8" s="129">
        <v>102000.78</v>
      </c>
      <c r="K8" s="129">
        <v>9500</v>
      </c>
      <c r="L8" s="130">
        <v>1</v>
      </c>
      <c r="M8" s="131">
        <v>111500.78</v>
      </c>
    </row>
    <row r="9" spans="1:13" x14ac:dyDescent="0.25">
      <c r="A9" t="s">
        <v>120</v>
      </c>
      <c r="B9" s="3"/>
      <c r="C9" s="3"/>
      <c r="D9" s="3"/>
      <c r="I9" s="128" t="s">
        <v>141</v>
      </c>
      <c r="J9" s="129">
        <v>110072.7</v>
      </c>
      <c r="K9" s="129">
        <v>9500</v>
      </c>
      <c r="L9" s="130">
        <v>0.25</v>
      </c>
      <c r="M9" s="131">
        <v>29893.174999999999</v>
      </c>
    </row>
    <row r="10" spans="1:13" x14ac:dyDescent="0.25">
      <c r="A10" t="s">
        <v>33</v>
      </c>
      <c r="B10" s="3"/>
      <c r="C10" s="3"/>
      <c r="D10" s="3"/>
      <c r="I10" s="128" t="s">
        <v>142</v>
      </c>
      <c r="J10" s="129">
        <v>10343.01</v>
      </c>
      <c r="K10" s="129">
        <v>9500</v>
      </c>
      <c r="L10" s="130">
        <v>1</v>
      </c>
      <c r="M10" s="131">
        <v>19843.010000000002</v>
      </c>
    </row>
    <row r="11" spans="1:13" x14ac:dyDescent="0.25">
      <c r="A11" t="s">
        <v>33</v>
      </c>
      <c r="B11" s="3"/>
      <c r="C11" s="3"/>
      <c r="D11" s="3"/>
      <c r="I11" s="128" t="s">
        <v>143</v>
      </c>
      <c r="J11" s="129">
        <v>149451.51</v>
      </c>
      <c r="K11" s="129">
        <v>9500</v>
      </c>
      <c r="L11" s="130">
        <v>0.3</v>
      </c>
      <c r="M11" s="131">
        <v>47685.453000000001</v>
      </c>
    </row>
    <row r="12" spans="1:13" x14ac:dyDescent="0.25">
      <c r="A12" t="s">
        <v>33</v>
      </c>
      <c r="B12" s="3">
        <f>M14</f>
        <v>563220.38299999991</v>
      </c>
      <c r="C12" s="3">
        <f>M14+M15</f>
        <v>606588.35249099997</v>
      </c>
      <c r="D12" s="3">
        <f>M20</f>
        <v>857406.61590864719</v>
      </c>
      <c r="I12" s="128" t="s">
        <v>144</v>
      </c>
      <c r="J12" s="129">
        <v>52217.7</v>
      </c>
      <c r="K12" s="129">
        <v>9500</v>
      </c>
      <c r="L12" s="130">
        <v>1</v>
      </c>
      <c r="M12" s="131">
        <v>61718.7</v>
      </c>
    </row>
    <row r="13" spans="1:13" x14ac:dyDescent="0.25">
      <c r="A13" t="s">
        <v>30</v>
      </c>
      <c r="B13" s="3">
        <f>SUM(B7:B12)</f>
        <v>563220.38299999991</v>
      </c>
      <c r="C13" s="3">
        <f>SUM(C7:C12)</f>
        <v>606588.35249099997</v>
      </c>
      <c r="D13" s="3">
        <f>SUM(D7:D12)</f>
        <v>857406.61590864719</v>
      </c>
      <c r="I13" s="128" t="s">
        <v>145</v>
      </c>
      <c r="J13" s="129">
        <v>90138.08</v>
      </c>
      <c r="K13" s="129">
        <v>1100</v>
      </c>
      <c r="L13" s="130">
        <v>1</v>
      </c>
      <c r="M13" s="131">
        <v>91239.08</v>
      </c>
    </row>
    <row r="14" spans="1:13" x14ac:dyDescent="0.25">
      <c r="I14" s="132"/>
      <c r="J14" s="133"/>
      <c r="K14" s="133"/>
      <c r="L14" s="133"/>
      <c r="M14" s="134">
        <v>563220.38299999991</v>
      </c>
    </row>
    <row r="15" spans="1:13" x14ac:dyDescent="0.25">
      <c r="A15" s="1" t="s">
        <v>90</v>
      </c>
      <c r="B15" s="1"/>
      <c r="C15" s="1"/>
      <c r="D15" s="1"/>
      <c r="E15" s="1"/>
      <c r="I15" s="87"/>
      <c r="J15" s="87"/>
      <c r="K15" s="87" t="s">
        <v>146</v>
      </c>
      <c r="L15" s="135">
        <v>7.6999999999999999E-2</v>
      </c>
      <c r="M15" s="136">
        <f>M14*L15</f>
        <v>43367.969490999996</v>
      </c>
    </row>
    <row r="16" spans="1:13" x14ac:dyDescent="0.25">
      <c r="I16" s="87"/>
      <c r="J16" s="87"/>
      <c r="K16" s="137" t="s">
        <v>147</v>
      </c>
      <c r="L16" s="135">
        <v>3.9199999999999999E-2</v>
      </c>
      <c r="M16" s="136">
        <f>(M14+M15)*L16</f>
        <v>23778.263417647198</v>
      </c>
    </row>
    <row r="17" spans="9:14" x14ac:dyDescent="0.25">
      <c r="I17" s="87"/>
      <c r="J17" s="87"/>
      <c r="K17" s="138" t="s">
        <v>148</v>
      </c>
      <c r="L17" s="135"/>
      <c r="M17" s="139">
        <f>M14+M15+M16</f>
        <v>630366.61590864719</v>
      </c>
    </row>
    <row r="18" spans="9:14" x14ac:dyDescent="0.25">
      <c r="I18" s="87"/>
      <c r="J18" s="105" t="s">
        <v>149</v>
      </c>
      <c r="K18" s="140"/>
      <c r="L18" s="141"/>
      <c r="M18" s="142">
        <f>35200*0.2</f>
        <v>7040</v>
      </c>
      <c r="N18" t="s">
        <v>151</v>
      </c>
    </row>
    <row r="19" spans="9:14" x14ac:dyDescent="0.25">
      <c r="I19" s="87"/>
      <c r="J19" s="105" t="s">
        <v>32</v>
      </c>
      <c r="K19" s="140"/>
      <c r="L19" s="141"/>
      <c r="M19" s="192">
        <v>220000</v>
      </c>
      <c r="N19" t="s">
        <v>153</v>
      </c>
    </row>
    <row r="20" spans="9:14" x14ac:dyDescent="0.25">
      <c r="I20" s="87"/>
      <c r="J20" s="87"/>
      <c r="K20" s="138" t="s">
        <v>150</v>
      </c>
      <c r="L20" s="135"/>
      <c r="M20" s="139">
        <f>M17+M18+M19</f>
        <v>857406.61590864719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9"/>
  <sheetViews>
    <sheetView workbookViewId="0">
      <selection activeCell="F15" sqref="F15"/>
    </sheetView>
  </sheetViews>
  <sheetFormatPr defaultRowHeight="15" x14ac:dyDescent="0.25"/>
  <cols>
    <col min="1" max="1" width="31.7109375" customWidth="1"/>
    <col min="2" max="2" width="33.7109375" customWidth="1"/>
    <col min="3" max="3" width="31.5703125" customWidth="1"/>
    <col min="4" max="6" width="15.7109375" customWidth="1"/>
    <col min="7" max="7" width="13.28515625" bestFit="1" customWidth="1"/>
  </cols>
  <sheetData>
    <row r="1" spans="1:7" ht="15.75" thickBot="1" x14ac:dyDescent="0.3">
      <c r="A1" s="147" t="s">
        <v>0</v>
      </c>
      <c r="B1" s="147"/>
      <c r="C1" s="147"/>
      <c r="D1" s="147"/>
      <c r="E1" s="147"/>
      <c r="F1" s="147"/>
    </row>
    <row r="2" spans="1:7" ht="15.75" thickBot="1" x14ac:dyDescent="0.3">
      <c r="A2" s="148" t="s">
        <v>91</v>
      </c>
      <c r="B2" s="149"/>
      <c r="C2" s="149"/>
      <c r="D2" s="149"/>
      <c r="E2" s="149"/>
      <c r="F2" s="150"/>
    </row>
    <row r="3" spans="1:7" ht="15.75" thickBot="1" x14ac:dyDescent="0.3">
      <c r="A3" s="148" t="s">
        <v>20</v>
      </c>
      <c r="B3" s="149"/>
      <c r="C3" s="149"/>
      <c r="D3" s="149"/>
      <c r="E3" s="149"/>
      <c r="F3" s="150"/>
    </row>
    <row r="4" spans="1:7" ht="15.75" thickBot="1" x14ac:dyDescent="0.3">
      <c r="D4" s="97" t="s">
        <v>4</v>
      </c>
      <c r="E4" s="98" t="s">
        <v>24</v>
      </c>
      <c r="F4" s="99" t="s">
        <v>5</v>
      </c>
    </row>
    <row r="5" spans="1:7" ht="15.75" thickBot="1" x14ac:dyDescent="0.3">
      <c r="A5" s="46" t="s">
        <v>37</v>
      </c>
      <c r="B5" s="47" t="s">
        <v>6</v>
      </c>
      <c r="C5" s="47" t="s">
        <v>9</v>
      </c>
      <c r="D5" s="47">
        <v>2023</v>
      </c>
      <c r="E5" s="47">
        <v>2024</v>
      </c>
      <c r="F5" s="48">
        <v>2025</v>
      </c>
    </row>
    <row r="6" spans="1:7" x14ac:dyDescent="0.25">
      <c r="A6" s="13" t="s">
        <v>8</v>
      </c>
      <c r="B6" s="15" t="s">
        <v>11</v>
      </c>
      <c r="C6" s="15" t="s">
        <v>12</v>
      </c>
      <c r="D6" s="14">
        <f>'Conesul Convencional'!B18</f>
        <v>3076550.9049999998</v>
      </c>
      <c r="E6" s="14">
        <f>'Conesul Convencional'!C18</f>
        <v>3744841.2914607995</v>
      </c>
      <c r="F6" s="16">
        <f>'Conesul Convencional'!D18</f>
        <v>3875544.2847924628</v>
      </c>
      <c r="G6" s="119"/>
    </row>
    <row r="7" spans="1:7" x14ac:dyDescent="0.25">
      <c r="A7" s="17" t="s">
        <v>13</v>
      </c>
      <c r="B7" s="7" t="s">
        <v>11</v>
      </c>
      <c r="C7" s="7" t="s">
        <v>14</v>
      </c>
      <c r="D7" s="8">
        <f>'Conesul Mecan'!B18</f>
        <v>2804612.58</v>
      </c>
      <c r="E7" s="8">
        <f>'Conesul Mecan'!C18</f>
        <v>3137455.7385600004</v>
      </c>
      <c r="F7" s="18">
        <f>'Conesul Mecan'!D18</f>
        <v>3260816.8295915523</v>
      </c>
      <c r="G7" s="119"/>
    </row>
    <row r="8" spans="1:7" x14ac:dyDescent="0.25">
      <c r="A8" s="17" t="s">
        <v>18</v>
      </c>
      <c r="B8" s="7" t="s">
        <v>11</v>
      </c>
      <c r="C8" s="7" t="s">
        <v>19</v>
      </c>
      <c r="D8" s="8">
        <f>'Conesul Seletiva'!B18</f>
        <v>423469.43</v>
      </c>
      <c r="E8" s="8">
        <f>'Conesul Seletiva'!C18</f>
        <v>528115.4</v>
      </c>
      <c r="F8" s="18">
        <f>'Conesul Seletiva'!D18</f>
        <v>651141.91375999991</v>
      </c>
      <c r="G8" s="119"/>
    </row>
    <row r="9" spans="1:7" x14ac:dyDescent="0.25">
      <c r="A9" s="17" t="s">
        <v>56</v>
      </c>
      <c r="B9" s="7" t="s">
        <v>11</v>
      </c>
      <c r="C9" s="7" t="s">
        <v>57</v>
      </c>
      <c r="D9" s="8">
        <f>'Conesul Rural'!B18</f>
        <v>467367.64500000014</v>
      </c>
      <c r="E9" s="8">
        <f>'Conesul Rural'!C18</f>
        <v>535643.59499999997</v>
      </c>
      <c r="F9" s="18">
        <f>'Conesul Rural'!D18</f>
        <v>557640</v>
      </c>
      <c r="G9" s="119"/>
    </row>
    <row r="10" spans="1:7" x14ac:dyDescent="0.25">
      <c r="A10" s="17" t="s">
        <v>18</v>
      </c>
      <c r="B10" s="7" t="s">
        <v>35</v>
      </c>
      <c r="C10" s="7" t="s">
        <v>58</v>
      </c>
      <c r="D10" s="8">
        <f>'Coomcat Coleta'!B18</f>
        <v>564049.10000000021</v>
      </c>
      <c r="E10" s="8">
        <f>'Coomcat Coleta'!C18</f>
        <v>686466.8400000002</v>
      </c>
      <c r="F10" s="18">
        <f>'Coomcat Coleta'!D18</f>
        <v>714903.60035199998</v>
      </c>
      <c r="G10" s="119"/>
    </row>
    <row r="11" spans="1:7" x14ac:dyDescent="0.25">
      <c r="A11" s="17" t="s">
        <v>34</v>
      </c>
      <c r="B11" s="7" t="s">
        <v>35</v>
      </c>
      <c r="C11" s="7" t="s">
        <v>59</v>
      </c>
      <c r="D11" s="8">
        <f>'Coomcat Triagem'!B18</f>
        <v>803473.99999999988</v>
      </c>
      <c r="E11" s="8">
        <f>'Coomcat Triagem'!C18</f>
        <v>789986.84999999986</v>
      </c>
      <c r="F11" s="18">
        <f>'Coomcat Triagem'!D18</f>
        <v>819366.49647999986</v>
      </c>
      <c r="G11" s="119"/>
    </row>
    <row r="12" spans="1:7" x14ac:dyDescent="0.25">
      <c r="A12" s="17" t="s">
        <v>2</v>
      </c>
      <c r="B12" s="7" t="s">
        <v>11</v>
      </c>
      <c r="C12" s="7" t="s">
        <v>36</v>
      </c>
      <c r="D12" s="8">
        <f>'Conesul Transbordo'!B18</f>
        <v>1305959.105</v>
      </c>
      <c r="E12" s="8">
        <f>'Conesul Transbordo'!C18</f>
        <v>1573232.405</v>
      </c>
      <c r="F12" s="18">
        <f>'Conesul Transbordo'!D18</f>
        <v>1676750.4302080001</v>
      </c>
      <c r="G12" s="119"/>
    </row>
    <row r="13" spans="1:7" x14ac:dyDescent="0.25">
      <c r="A13" s="17" t="s">
        <v>1</v>
      </c>
      <c r="B13" s="7" t="s">
        <v>7</v>
      </c>
      <c r="C13" s="7" t="s">
        <v>10</v>
      </c>
      <c r="D13" s="8">
        <f>'Tazay Transp'!N18</f>
        <v>1943652.38</v>
      </c>
      <c r="E13" s="8">
        <f>'Tazay Transp'!C37</f>
        <v>1662415</v>
      </c>
      <c r="F13" s="18">
        <f>'Tazay Transp'!D37</f>
        <v>1889542.3999999997</v>
      </c>
      <c r="G13" s="119"/>
    </row>
    <row r="14" spans="1:7" ht="15.75" thickBot="1" x14ac:dyDescent="0.3">
      <c r="A14" s="19" t="s">
        <v>15</v>
      </c>
      <c r="B14" s="21" t="s">
        <v>16</v>
      </c>
      <c r="C14" s="21" t="s">
        <v>17</v>
      </c>
      <c r="D14" s="20">
        <f>CRVR!B18</f>
        <v>3881792.1549999998</v>
      </c>
      <c r="E14" s="20">
        <f>CRVR!C18</f>
        <v>4929909.0650000004</v>
      </c>
      <c r="F14" s="22">
        <f>CRVR!D18</f>
        <v>6215688.4700000007</v>
      </c>
      <c r="G14" s="119"/>
    </row>
    <row r="15" spans="1:7" ht="15.75" thickBot="1" x14ac:dyDescent="0.3">
      <c r="A15" s="35"/>
      <c r="B15" s="37"/>
      <c r="C15" s="37" t="s">
        <v>23</v>
      </c>
      <c r="D15" s="36">
        <f>SUM(D6:D14)</f>
        <v>15270927.299999999</v>
      </c>
      <c r="E15" s="36">
        <f>SUM(E6:E14)</f>
        <v>17588066.185020801</v>
      </c>
      <c r="F15" s="38">
        <f>SUM(F6:F14)</f>
        <v>19661394.425184015</v>
      </c>
      <c r="G15" s="118">
        <f>F15/E15-1</f>
        <v>0.11788267216830262</v>
      </c>
    </row>
    <row r="16" spans="1:7" x14ac:dyDescent="0.25">
      <c r="D16" s="5"/>
    </row>
    <row r="17" spans="1:1" x14ac:dyDescent="0.25">
      <c r="A17" t="s">
        <v>73</v>
      </c>
    </row>
    <row r="18" spans="1:1" x14ac:dyDescent="0.25">
      <c r="A18" t="s">
        <v>76</v>
      </c>
    </row>
    <row r="19" spans="1:1" x14ac:dyDescent="0.25">
      <c r="A19" t="s">
        <v>64</v>
      </c>
    </row>
  </sheetData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3"/>
  <sheetViews>
    <sheetView workbookViewId="0">
      <selection activeCell="C18" sqref="C18"/>
    </sheetView>
  </sheetViews>
  <sheetFormatPr defaultRowHeight="15" x14ac:dyDescent="0.25"/>
  <cols>
    <col min="1" max="1" width="27.140625" customWidth="1"/>
    <col min="2" max="4" width="16.7109375" customWidth="1"/>
    <col min="5" max="5" width="10.5703125" bestFit="1" customWidth="1"/>
  </cols>
  <sheetData>
    <row r="1" spans="1:6" x14ac:dyDescent="0.25">
      <c r="A1" s="151" t="s">
        <v>39</v>
      </c>
      <c r="B1" s="152"/>
      <c r="C1" s="152"/>
      <c r="D1" s="153"/>
    </row>
    <row r="2" spans="1:6" x14ac:dyDescent="0.25">
      <c r="A2" s="151" t="s">
        <v>56</v>
      </c>
      <c r="B2" s="152"/>
      <c r="C2" s="152"/>
      <c r="D2" s="153"/>
      <c r="E2" s="113" t="s">
        <v>107</v>
      </c>
      <c r="F2" s="122">
        <v>3.9199999999999999E-2</v>
      </c>
    </row>
    <row r="3" spans="1:6" ht="15.75" thickBot="1" x14ac:dyDescent="0.3">
      <c r="A3" s="151" t="s">
        <v>57</v>
      </c>
      <c r="B3" s="152"/>
      <c r="C3" s="152"/>
      <c r="D3" s="153"/>
    </row>
    <row r="4" spans="1:6" ht="30" x14ac:dyDescent="0.25">
      <c r="A4" s="33"/>
      <c r="B4" s="43" t="s">
        <v>53</v>
      </c>
      <c r="C4" s="27" t="s">
        <v>68</v>
      </c>
      <c r="D4" s="43" t="s">
        <v>24</v>
      </c>
    </row>
    <row r="5" spans="1:6" x14ac:dyDescent="0.25">
      <c r="A5" s="43" t="s">
        <v>37</v>
      </c>
      <c r="B5" s="43">
        <v>2023</v>
      </c>
      <c r="C5" s="43">
        <v>2024</v>
      </c>
      <c r="D5" s="43">
        <v>2025</v>
      </c>
    </row>
    <row r="6" spans="1:6" x14ac:dyDescent="0.25">
      <c r="A6" s="7" t="s">
        <v>40</v>
      </c>
      <c r="B6" s="8"/>
      <c r="C6" s="100">
        <f>B17</f>
        <v>43218.475000000006</v>
      </c>
      <c r="D6" s="8">
        <f>C17</f>
        <v>45000</v>
      </c>
    </row>
    <row r="7" spans="1:6" x14ac:dyDescent="0.25">
      <c r="A7" s="7" t="s">
        <v>41</v>
      </c>
      <c r="B7" s="8"/>
      <c r="C7" s="8">
        <v>46033.17</v>
      </c>
      <c r="D7" s="8">
        <f>D6</f>
        <v>45000</v>
      </c>
    </row>
    <row r="8" spans="1:6" x14ac:dyDescent="0.25">
      <c r="A8" s="7" t="s">
        <v>42</v>
      </c>
      <c r="B8" s="8"/>
      <c r="C8" s="8">
        <v>41930.230000000003</v>
      </c>
      <c r="D8" s="100">
        <f>D7*(1+F2)</f>
        <v>46763.999999999993</v>
      </c>
      <c r="E8" s="4"/>
    </row>
    <row r="9" spans="1:6" x14ac:dyDescent="0.25">
      <c r="A9" s="7" t="s">
        <v>43</v>
      </c>
      <c r="B9" s="8">
        <f>7873.47+37107.39+37053.75+33872.55</f>
        <v>115907.16</v>
      </c>
      <c r="C9" s="8">
        <f>42036.6+2898.92</f>
        <v>44935.519999999997</v>
      </c>
      <c r="D9" s="8">
        <f>D8</f>
        <v>46763.999999999993</v>
      </c>
      <c r="E9" s="4"/>
    </row>
    <row r="10" spans="1:6" x14ac:dyDescent="0.25">
      <c r="A10" s="7" t="s">
        <v>44</v>
      </c>
      <c r="B10" s="8">
        <f>41037.48</f>
        <v>41037.480000000003</v>
      </c>
      <c r="C10" s="8">
        <v>43936.28</v>
      </c>
      <c r="D10" s="8">
        <f t="shared" ref="D10:D17" si="0">D9</f>
        <v>46763.999999999993</v>
      </c>
      <c r="E10" s="4"/>
    </row>
    <row r="11" spans="1:6" x14ac:dyDescent="0.25">
      <c r="A11" s="7" t="s">
        <v>45</v>
      </c>
      <c r="B11" s="8">
        <f>44977.83+2173.2+1056.8</f>
        <v>48207.83</v>
      </c>
      <c r="C11" s="8">
        <v>46002.89</v>
      </c>
      <c r="D11" s="8">
        <f t="shared" si="0"/>
        <v>46763.999999999993</v>
      </c>
      <c r="E11" s="5">
        <f>SUM(C7:C11)/5</f>
        <v>44567.617999999995</v>
      </c>
    </row>
    <row r="12" spans="1:6" x14ac:dyDescent="0.25">
      <c r="A12" s="7" t="s">
        <v>46</v>
      </c>
      <c r="B12" s="8">
        <f>43763.19</f>
        <v>43763.19</v>
      </c>
      <c r="C12" s="188">
        <v>43610.77</v>
      </c>
      <c r="D12" s="8">
        <f t="shared" si="0"/>
        <v>46763.999999999993</v>
      </c>
    </row>
    <row r="13" spans="1:6" x14ac:dyDescent="0.25">
      <c r="A13" s="7" t="s">
        <v>47</v>
      </c>
      <c r="B13" s="8">
        <f>43755.96</f>
        <v>43755.96</v>
      </c>
      <c r="C13" s="188">
        <v>45790.93</v>
      </c>
      <c r="D13" s="8">
        <f t="shared" si="0"/>
        <v>46763.999999999993</v>
      </c>
    </row>
    <row r="14" spans="1:6" x14ac:dyDescent="0.25">
      <c r="A14" s="7" t="s">
        <v>48</v>
      </c>
      <c r="B14" s="8">
        <f>44826</f>
        <v>44826</v>
      </c>
      <c r="C14" s="188">
        <v>45185.33</v>
      </c>
      <c r="D14" s="8">
        <f t="shared" si="0"/>
        <v>46763.999999999993</v>
      </c>
    </row>
    <row r="15" spans="1:6" x14ac:dyDescent="0.25">
      <c r="A15" s="7" t="s">
        <v>49</v>
      </c>
      <c r="B15" s="8">
        <f>43618.59</f>
        <v>43618.59</v>
      </c>
      <c r="C15" s="100">
        <v>45000</v>
      </c>
      <c r="D15" s="8">
        <f t="shared" si="0"/>
        <v>46763.999999999993</v>
      </c>
    </row>
    <row r="16" spans="1:6" x14ac:dyDescent="0.25">
      <c r="A16" s="7" t="s">
        <v>50</v>
      </c>
      <c r="B16" s="8">
        <f>43032.96</f>
        <v>43032.959999999999</v>
      </c>
      <c r="C16" s="100">
        <v>45000</v>
      </c>
      <c r="D16" s="8">
        <f t="shared" si="0"/>
        <v>46763.999999999993</v>
      </c>
    </row>
    <row r="17" spans="1:4" x14ac:dyDescent="0.25">
      <c r="A17" s="7" t="s">
        <v>51</v>
      </c>
      <c r="B17" s="100">
        <f>(13426.11+42418.41+29736.99+855.44)/2</f>
        <v>43218.475000000006</v>
      </c>
      <c r="C17" s="100">
        <v>45000</v>
      </c>
      <c r="D17" s="8">
        <f t="shared" si="0"/>
        <v>46763.999999999993</v>
      </c>
    </row>
    <row r="18" spans="1:4" ht="15.75" thickBot="1" x14ac:dyDescent="0.3">
      <c r="A18" s="24" t="s">
        <v>52</v>
      </c>
      <c r="B18" s="112">
        <f>SUM(B6:B17)</f>
        <v>467367.64500000014</v>
      </c>
      <c r="C18" s="32">
        <f>SUM(C6:C17)</f>
        <v>535643.59499999997</v>
      </c>
      <c r="D18" s="32">
        <f>SUM(D6:D17)</f>
        <v>557640</v>
      </c>
    </row>
    <row r="19" spans="1:4" ht="15.75" thickBot="1" x14ac:dyDescent="0.3">
      <c r="A19" s="35"/>
      <c r="B19" s="37"/>
      <c r="C19" s="41"/>
      <c r="D19" s="42"/>
    </row>
    <row r="20" spans="1:4" ht="32.25" customHeight="1" thickBot="1" x14ac:dyDescent="0.3">
      <c r="A20" s="154"/>
      <c r="B20" s="155"/>
      <c r="C20" s="34"/>
      <c r="D20" s="40"/>
    </row>
    <row r="21" spans="1:4" x14ac:dyDescent="0.25">
      <c r="A21" s="44"/>
      <c r="B21" s="44"/>
      <c r="C21" s="45"/>
      <c r="D21" s="44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5" spans="1:4" x14ac:dyDescent="0.25">
      <c r="A25" t="s">
        <v>79</v>
      </c>
    </row>
    <row r="26" spans="1:4" x14ac:dyDescent="0.25">
      <c r="A26" t="s">
        <v>75</v>
      </c>
    </row>
    <row r="30" spans="1:4" x14ac:dyDescent="0.25">
      <c r="A30" s="104" t="s">
        <v>93</v>
      </c>
      <c r="B30" s="105"/>
    </row>
    <row r="31" spans="1:4" x14ac:dyDescent="0.25">
      <c r="A31" s="105" t="s">
        <v>94</v>
      </c>
      <c r="B31" s="106">
        <v>43915</v>
      </c>
      <c r="C31" s="108"/>
    </row>
    <row r="32" spans="1:4" x14ac:dyDescent="0.25">
      <c r="A32" s="105" t="s">
        <v>95</v>
      </c>
      <c r="B32" s="107">
        <v>45741</v>
      </c>
    </row>
    <row r="33" spans="1:2" x14ac:dyDescent="0.25">
      <c r="A33" s="105" t="s">
        <v>97</v>
      </c>
      <c r="B33" s="110" t="s">
        <v>98</v>
      </c>
    </row>
  </sheetData>
  <mergeCells count="4">
    <mergeCell ref="A1:D1"/>
    <mergeCell ref="A2:D2"/>
    <mergeCell ref="A3:D3"/>
    <mergeCell ref="A20:B20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3"/>
  <sheetViews>
    <sheetView workbookViewId="0">
      <selection activeCell="D15" sqref="D15"/>
    </sheetView>
  </sheetViews>
  <sheetFormatPr defaultRowHeight="15" x14ac:dyDescent="0.25"/>
  <cols>
    <col min="1" max="1" width="27.140625" customWidth="1"/>
    <col min="2" max="4" width="16.7109375" customWidth="1"/>
    <col min="5" max="5" width="11.5703125" bestFit="1" customWidth="1"/>
  </cols>
  <sheetData>
    <row r="1" spans="1:6" x14ac:dyDescent="0.25">
      <c r="A1" s="151" t="s">
        <v>39</v>
      </c>
      <c r="B1" s="152"/>
      <c r="C1" s="152"/>
      <c r="D1" s="153"/>
    </row>
    <row r="2" spans="1:6" x14ac:dyDescent="0.25">
      <c r="A2" s="151" t="s">
        <v>8</v>
      </c>
      <c r="B2" s="152"/>
      <c r="C2" s="152"/>
      <c r="D2" s="153"/>
      <c r="E2" s="113" t="s">
        <v>107</v>
      </c>
      <c r="F2" s="122">
        <f>'Conesul Rural'!F2</f>
        <v>3.9199999999999999E-2</v>
      </c>
    </row>
    <row r="3" spans="1:6" ht="15.75" thickBot="1" x14ac:dyDescent="0.3">
      <c r="A3" s="151" t="s">
        <v>12</v>
      </c>
      <c r="B3" s="152"/>
      <c r="C3" s="152"/>
      <c r="D3" s="153"/>
    </row>
    <row r="4" spans="1:6" ht="30" x14ac:dyDescent="0.25">
      <c r="A4" s="33"/>
      <c r="B4" s="43" t="s">
        <v>53</v>
      </c>
      <c r="C4" s="27" t="s">
        <v>68</v>
      </c>
      <c r="D4" s="43" t="s">
        <v>24</v>
      </c>
    </row>
    <row r="5" spans="1:6" x14ac:dyDescent="0.25">
      <c r="A5" s="43" t="s">
        <v>37</v>
      </c>
      <c r="B5" s="43">
        <v>2023</v>
      </c>
      <c r="C5" s="43">
        <v>2024</v>
      </c>
      <c r="D5" s="43">
        <v>2025</v>
      </c>
    </row>
    <row r="6" spans="1:6" x14ac:dyDescent="0.25">
      <c r="A6" s="7" t="s">
        <v>40</v>
      </c>
      <c r="B6" s="8">
        <v>15622.4</v>
      </c>
      <c r="C6" s="100">
        <f>B17</f>
        <v>318950.065</v>
      </c>
      <c r="D6" s="8">
        <f>C17</f>
        <v>319827.7121536</v>
      </c>
    </row>
    <row r="7" spans="1:6" x14ac:dyDescent="0.25">
      <c r="A7" s="7" t="s">
        <v>41</v>
      </c>
      <c r="B7" s="8">
        <f>262379.27</f>
        <v>262379.27</v>
      </c>
      <c r="C7" s="8">
        <v>335490.51</v>
      </c>
      <c r="D7" s="8">
        <f>D6</f>
        <v>319827.7121536</v>
      </c>
    </row>
    <row r="8" spans="1:6" x14ac:dyDescent="0.25">
      <c r="A8" s="7" t="s">
        <v>42</v>
      </c>
      <c r="B8" s="8">
        <f>237748.48</f>
        <v>237748.48000000001</v>
      </c>
      <c r="C8" s="8">
        <f>287636.28</f>
        <v>287636.28000000003</v>
      </c>
      <c r="D8" s="8">
        <f t="shared" ref="D8:D17" si="0">D7</f>
        <v>319827.7121536</v>
      </c>
      <c r="E8" s="4"/>
    </row>
    <row r="9" spans="1:6" x14ac:dyDescent="0.25">
      <c r="A9" s="7" t="s">
        <v>43</v>
      </c>
      <c r="B9" s="8">
        <f>272134.84</f>
        <v>272134.84000000003</v>
      </c>
      <c r="C9" s="8">
        <f>293993.42</f>
        <v>293993.42</v>
      </c>
      <c r="D9" s="8">
        <f t="shared" si="0"/>
        <v>319827.7121536</v>
      </c>
      <c r="E9" s="4"/>
    </row>
    <row r="10" spans="1:6" x14ac:dyDescent="0.25">
      <c r="A10" s="7" t="s">
        <v>44</v>
      </c>
      <c r="B10" s="8">
        <f>247219.72</f>
        <v>247219.72</v>
      </c>
      <c r="C10" s="8">
        <f>296215.45</f>
        <v>296215.45</v>
      </c>
      <c r="D10" s="8">
        <f t="shared" si="0"/>
        <v>319827.7121536</v>
      </c>
      <c r="E10" s="4"/>
    </row>
    <row r="11" spans="1:6" x14ac:dyDescent="0.25">
      <c r="A11" s="7" t="s">
        <v>45</v>
      </c>
      <c r="B11" s="8">
        <f>291907.45</f>
        <v>291907.45</v>
      </c>
      <c r="C11" s="8">
        <f>329041.7</f>
        <v>329041.7</v>
      </c>
      <c r="D11" s="8">
        <f t="shared" si="0"/>
        <v>319827.7121536</v>
      </c>
      <c r="E11" s="5">
        <f>SUM(C7:C11)/5</f>
        <v>308475.47199999995</v>
      </c>
    </row>
    <row r="12" spans="1:6" x14ac:dyDescent="0.25">
      <c r="A12" s="7" t="s">
        <v>46</v>
      </c>
      <c r="B12" s="8">
        <f>259736.53</f>
        <v>259736.53</v>
      </c>
      <c r="C12" s="188">
        <v>302177.07</v>
      </c>
      <c r="D12" s="8">
        <f t="shared" si="0"/>
        <v>319827.7121536</v>
      </c>
    </row>
    <row r="13" spans="1:6" x14ac:dyDescent="0.25">
      <c r="A13" s="7" t="s">
        <v>47</v>
      </c>
      <c r="B13" s="8">
        <f>30273.03+279133.51</f>
        <v>309406.54000000004</v>
      </c>
      <c r="C13" s="188">
        <v>314137.65000000002</v>
      </c>
      <c r="D13" s="8">
        <f t="shared" si="0"/>
        <v>319827.7121536</v>
      </c>
    </row>
    <row r="14" spans="1:6" x14ac:dyDescent="0.25">
      <c r="A14" s="7" t="s">
        <v>48</v>
      </c>
      <c r="B14" s="8">
        <f>286300.35</f>
        <v>286300.34999999998</v>
      </c>
      <c r="C14" s="188">
        <v>307716.01</v>
      </c>
      <c r="D14" s="8">
        <f t="shared" si="0"/>
        <v>319827.7121536</v>
      </c>
    </row>
    <row r="15" spans="1:6" x14ac:dyDescent="0.25">
      <c r="A15" s="7" t="s">
        <v>49</v>
      </c>
      <c r="B15" s="8">
        <f>37563.62+246193.88</f>
        <v>283757.5</v>
      </c>
      <c r="C15" s="114">
        <f>C14*1.03936</f>
        <v>319827.7121536</v>
      </c>
      <c r="D15" s="114">
        <f>D14*(1+F2)</f>
        <v>332364.95847002108</v>
      </c>
    </row>
    <row r="16" spans="1:6" x14ac:dyDescent="0.25">
      <c r="A16" s="7" t="s">
        <v>50</v>
      </c>
      <c r="B16" s="8">
        <f>6306.12+284000+1081.64</f>
        <v>291387.76</v>
      </c>
      <c r="C16" s="100">
        <f>C15</f>
        <v>319827.7121536</v>
      </c>
      <c r="D16" s="8">
        <f t="shared" si="0"/>
        <v>332364.95847002108</v>
      </c>
    </row>
    <row r="17" spans="1:4" ht="15.75" thickBot="1" x14ac:dyDescent="0.3">
      <c r="A17" s="11" t="s">
        <v>51</v>
      </c>
      <c r="B17" s="101">
        <f>(62021.86+30382.06+214536.33+959.88+230000+100000)/2</f>
        <v>318950.065</v>
      </c>
      <c r="C17" s="100">
        <f>C16</f>
        <v>319827.7121536</v>
      </c>
      <c r="D17" s="8">
        <f t="shared" si="0"/>
        <v>332364.95847002108</v>
      </c>
    </row>
    <row r="18" spans="1:4" ht="15.75" thickBot="1" x14ac:dyDescent="0.3">
      <c r="A18" s="35" t="s">
        <v>52</v>
      </c>
      <c r="B18" s="36">
        <f>SUM(B6:B17)</f>
        <v>3076550.9049999998</v>
      </c>
      <c r="C18" s="36">
        <f>SUM(C6:C17)</f>
        <v>3744841.2914607995</v>
      </c>
      <c r="D18" s="38">
        <f>SUM(D6:D17)</f>
        <v>3875544.2847924628</v>
      </c>
    </row>
    <row r="19" spans="1:4" ht="30" customHeight="1" thickBot="1" x14ac:dyDescent="0.3">
      <c r="A19" s="154"/>
      <c r="B19" s="156"/>
      <c r="C19" s="51"/>
      <c r="D19" s="52"/>
    </row>
    <row r="20" spans="1:4" ht="15.75" thickBot="1" x14ac:dyDescent="0.3">
      <c r="A20" s="35"/>
      <c r="B20" s="39"/>
      <c r="C20" s="34"/>
      <c r="D20" s="40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5" spans="1:4" x14ac:dyDescent="0.25">
      <c r="A25" t="s">
        <v>78</v>
      </c>
    </row>
    <row r="26" spans="1:4" x14ac:dyDescent="0.25">
      <c r="A26" t="s">
        <v>75</v>
      </c>
    </row>
    <row r="30" spans="1:4" x14ac:dyDescent="0.25">
      <c r="A30" s="104" t="s">
        <v>93</v>
      </c>
      <c r="B30" s="105"/>
    </row>
    <row r="31" spans="1:4" x14ac:dyDescent="0.25">
      <c r="A31" s="105" t="s">
        <v>94</v>
      </c>
      <c r="B31" s="106">
        <v>44095</v>
      </c>
    </row>
    <row r="32" spans="1:4" x14ac:dyDescent="0.25">
      <c r="A32" s="105" t="s">
        <v>95</v>
      </c>
      <c r="B32" s="107">
        <v>45556</v>
      </c>
    </row>
    <row r="33" spans="1:2" x14ac:dyDescent="0.25">
      <c r="A33" s="105" t="s">
        <v>97</v>
      </c>
      <c r="B33" s="110" t="s">
        <v>98</v>
      </c>
    </row>
  </sheetData>
  <mergeCells count="4">
    <mergeCell ref="A1:D1"/>
    <mergeCell ref="A2:D2"/>
    <mergeCell ref="A3:D3"/>
    <mergeCell ref="A19:B19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3"/>
  <sheetViews>
    <sheetView topLeftCell="A2" workbookViewId="0">
      <selection activeCell="C15" sqref="C15"/>
    </sheetView>
  </sheetViews>
  <sheetFormatPr defaultRowHeight="15" x14ac:dyDescent="0.25"/>
  <cols>
    <col min="1" max="1" width="27.140625" customWidth="1"/>
    <col min="2" max="4" width="16.7109375" customWidth="1"/>
    <col min="5" max="5" width="11.5703125" bestFit="1" customWidth="1"/>
    <col min="6" max="6" width="17.42578125" customWidth="1"/>
    <col min="7" max="7" width="16.42578125" customWidth="1"/>
    <col min="8" max="8" width="14.28515625" bestFit="1" customWidth="1"/>
    <col min="9" max="9" width="16.7109375" customWidth="1"/>
  </cols>
  <sheetData>
    <row r="1" spans="1:9" x14ac:dyDescent="0.25">
      <c r="A1" s="151" t="s">
        <v>39</v>
      </c>
      <c r="B1" s="152"/>
      <c r="C1" s="152"/>
      <c r="D1" s="153"/>
    </row>
    <row r="2" spans="1:9" x14ac:dyDescent="0.25">
      <c r="A2" s="151" t="s">
        <v>54</v>
      </c>
      <c r="B2" s="152"/>
      <c r="C2" s="152"/>
      <c r="D2" s="153"/>
      <c r="E2" s="113" t="s">
        <v>107</v>
      </c>
      <c r="F2" s="122">
        <f>'Conesul Convencional'!F2</f>
        <v>3.9199999999999999E-2</v>
      </c>
    </row>
    <row r="3" spans="1:9" ht="15.75" thickBot="1" x14ac:dyDescent="0.3">
      <c r="A3" s="157" t="s">
        <v>14</v>
      </c>
      <c r="B3" s="158"/>
      <c r="C3" s="158"/>
      <c r="D3" s="159"/>
    </row>
    <row r="4" spans="1:9" ht="30" x14ac:dyDescent="0.25">
      <c r="A4" s="25"/>
      <c r="B4" s="26" t="s">
        <v>53</v>
      </c>
      <c r="C4" s="27" t="s">
        <v>68</v>
      </c>
      <c r="D4" s="28" t="s">
        <v>24</v>
      </c>
    </row>
    <row r="5" spans="1:9" ht="15.75" thickBot="1" x14ac:dyDescent="0.3">
      <c r="A5" s="29" t="s">
        <v>37</v>
      </c>
      <c r="B5" s="30">
        <v>2023</v>
      </c>
      <c r="C5" s="30">
        <v>2024</v>
      </c>
      <c r="D5" s="31">
        <v>2025</v>
      </c>
    </row>
    <row r="6" spans="1:9" x14ac:dyDescent="0.25">
      <c r="A6" s="9" t="s">
        <v>40</v>
      </c>
      <c r="B6" s="10">
        <v>0</v>
      </c>
      <c r="C6" s="10">
        <v>258907</v>
      </c>
      <c r="D6" s="10">
        <f>C17</f>
        <v>269097.57952000003</v>
      </c>
      <c r="G6" s="55"/>
      <c r="H6" s="55"/>
    </row>
    <row r="7" spans="1:9" x14ac:dyDescent="0.25">
      <c r="A7" s="7" t="s">
        <v>41</v>
      </c>
      <c r="B7" s="8">
        <v>248743</v>
      </c>
      <c r="C7" s="8">
        <v>258907</v>
      </c>
      <c r="D7" s="8">
        <f>D6</f>
        <v>269097.57952000003</v>
      </c>
      <c r="G7" s="55"/>
      <c r="H7" s="55"/>
    </row>
    <row r="8" spans="1:9" x14ac:dyDescent="0.25">
      <c r="A8" s="7" t="s">
        <v>42</v>
      </c>
      <c r="B8" s="8">
        <v>248743</v>
      </c>
      <c r="C8" s="8">
        <v>258907</v>
      </c>
      <c r="D8" s="8">
        <f t="shared" ref="D8:D17" si="0">D7</f>
        <v>269097.57952000003</v>
      </c>
      <c r="E8" s="4"/>
      <c r="G8" s="55"/>
      <c r="H8" s="55"/>
    </row>
    <row r="9" spans="1:9" x14ac:dyDescent="0.25">
      <c r="A9" s="7" t="s">
        <v>43</v>
      </c>
      <c r="B9" s="8">
        <v>248743</v>
      </c>
      <c r="C9" s="8">
        <v>258907</v>
      </c>
      <c r="D9" s="8">
        <f t="shared" si="0"/>
        <v>269097.57952000003</v>
      </c>
      <c r="E9" s="4"/>
      <c r="G9" s="55"/>
      <c r="H9" s="55"/>
      <c r="I9" s="55"/>
    </row>
    <row r="10" spans="1:9" x14ac:dyDescent="0.25">
      <c r="A10" s="7" t="s">
        <v>44</v>
      </c>
      <c r="B10" s="8">
        <v>248743</v>
      </c>
      <c r="C10" s="8">
        <v>258907</v>
      </c>
      <c r="D10" s="8">
        <f t="shared" si="0"/>
        <v>269097.57952000003</v>
      </c>
      <c r="E10" s="4"/>
      <c r="G10" s="55"/>
      <c r="H10" s="55"/>
    </row>
    <row r="11" spans="1:9" x14ac:dyDescent="0.25">
      <c r="A11" s="7" t="s">
        <v>45</v>
      </c>
      <c r="B11" s="8">
        <f>7455.58+248743</f>
        <v>256198.58</v>
      </c>
      <c r="C11" s="8">
        <v>258907</v>
      </c>
      <c r="D11" s="8">
        <f t="shared" si="0"/>
        <v>269097.57952000003</v>
      </c>
      <c r="E11" s="5">
        <f>SUM(C6:C11)/6</f>
        <v>258907</v>
      </c>
      <c r="G11" s="55"/>
      <c r="H11" s="55"/>
    </row>
    <row r="12" spans="1:9" x14ac:dyDescent="0.25">
      <c r="A12" s="7" t="s">
        <v>46</v>
      </c>
      <c r="B12" s="8">
        <v>258907</v>
      </c>
      <c r="C12" s="188">
        <v>258907</v>
      </c>
      <c r="D12" s="8">
        <f t="shared" si="0"/>
        <v>269097.57952000003</v>
      </c>
      <c r="G12" s="55"/>
      <c r="H12" s="55"/>
    </row>
    <row r="13" spans="1:9" x14ac:dyDescent="0.25">
      <c r="A13" s="7" t="s">
        <v>47</v>
      </c>
      <c r="B13" s="8">
        <v>258907</v>
      </c>
      <c r="C13" s="188">
        <v>258907</v>
      </c>
      <c r="D13" s="8">
        <f t="shared" si="0"/>
        <v>269097.57952000003</v>
      </c>
      <c r="G13" s="55"/>
      <c r="H13" s="55"/>
    </row>
    <row r="14" spans="1:9" x14ac:dyDescent="0.25">
      <c r="A14" s="7" t="s">
        <v>48</v>
      </c>
      <c r="B14" s="8">
        <f>258907</f>
        <v>258907</v>
      </c>
      <c r="C14" s="188">
        <v>258907</v>
      </c>
      <c r="D14" s="8">
        <f t="shared" si="0"/>
        <v>269097.57952000003</v>
      </c>
      <c r="G14" s="55"/>
      <c r="H14" s="55"/>
    </row>
    <row r="15" spans="1:9" x14ac:dyDescent="0.25">
      <c r="A15" s="7" t="s">
        <v>49</v>
      </c>
      <c r="B15" s="8">
        <f>66850.71+192056.29</f>
        <v>258907</v>
      </c>
      <c r="C15" s="114">
        <f>C14*1.03936</f>
        <v>269097.57952000003</v>
      </c>
      <c r="D15" s="115">
        <f>D14*(1+F2)</f>
        <v>279646.20463718398</v>
      </c>
      <c r="G15" s="55"/>
      <c r="H15" s="55"/>
    </row>
    <row r="16" spans="1:9" x14ac:dyDescent="0.25">
      <c r="A16" s="7" t="s">
        <v>50</v>
      </c>
      <c r="B16" s="8">
        <v>258907</v>
      </c>
      <c r="C16" s="100">
        <f>C15</f>
        <v>269097.57952000003</v>
      </c>
      <c r="D16" s="8">
        <f t="shared" si="0"/>
        <v>279646.20463718398</v>
      </c>
      <c r="G16" s="55"/>
      <c r="H16" s="55"/>
    </row>
    <row r="17" spans="1:9" ht="15.75" thickBot="1" x14ac:dyDescent="0.3">
      <c r="A17" s="11" t="s">
        <v>51</v>
      </c>
      <c r="B17" s="12">
        <v>258907</v>
      </c>
      <c r="C17" s="100">
        <f>C16</f>
        <v>269097.57952000003</v>
      </c>
      <c r="D17" s="8">
        <f t="shared" si="0"/>
        <v>279646.20463718398</v>
      </c>
      <c r="F17" s="5"/>
      <c r="G17" s="55"/>
      <c r="H17" s="55"/>
      <c r="I17" s="23"/>
    </row>
    <row r="18" spans="1:9" ht="15.75" thickBot="1" x14ac:dyDescent="0.3">
      <c r="A18" s="35" t="s">
        <v>52</v>
      </c>
      <c r="B18" s="36">
        <f>SUM(B6:B17)</f>
        <v>2804612.58</v>
      </c>
      <c r="C18" s="36">
        <f>SUM(C6:C17)</f>
        <v>3137455.7385600004</v>
      </c>
      <c r="D18" s="38">
        <f>SUM(D6:D17)</f>
        <v>3260816.8295915523</v>
      </c>
      <c r="F18" s="55"/>
      <c r="G18" s="55"/>
      <c r="H18" s="55"/>
    </row>
    <row r="19" spans="1:9" ht="34.5" customHeight="1" thickBot="1" x14ac:dyDescent="0.3">
      <c r="A19" s="160"/>
      <c r="B19" s="161"/>
      <c r="C19" s="51"/>
      <c r="D19" s="52"/>
      <c r="G19" s="55"/>
      <c r="H19" s="55"/>
    </row>
    <row r="20" spans="1:9" ht="21.75" customHeight="1" thickBot="1" x14ac:dyDescent="0.3">
      <c r="A20" s="35"/>
      <c r="B20" s="39"/>
      <c r="C20" s="34"/>
      <c r="D20" s="40"/>
      <c r="H20" s="5"/>
    </row>
    <row r="22" spans="1:9" x14ac:dyDescent="0.25">
      <c r="A22" t="s">
        <v>73</v>
      </c>
    </row>
    <row r="23" spans="1:9" x14ac:dyDescent="0.25">
      <c r="A23" t="s">
        <v>70</v>
      </c>
    </row>
    <row r="24" spans="1:9" x14ac:dyDescent="0.25">
      <c r="A24" t="s">
        <v>64</v>
      </c>
    </row>
    <row r="25" spans="1:9" x14ac:dyDescent="0.25">
      <c r="A25" t="s">
        <v>77</v>
      </c>
    </row>
    <row r="26" spans="1:9" x14ac:dyDescent="0.25">
      <c r="A26" t="s">
        <v>75</v>
      </c>
    </row>
    <row r="27" spans="1:9" x14ac:dyDescent="0.25">
      <c r="A27" t="s">
        <v>80</v>
      </c>
    </row>
    <row r="30" spans="1:9" x14ac:dyDescent="0.25">
      <c r="A30" s="104" t="s">
        <v>93</v>
      </c>
      <c r="B30" s="105"/>
    </row>
    <row r="31" spans="1:9" x14ac:dyDescent="0.25">
      <c r="A31" s="105" t="s">
        <v>94</v>
      </c>
      <c r="B31" s="106">
        <v>44095</v>
      </c>
    </row>
    <row r="32" spans="1:9" x14ac:dyDescent="0.25">
      <c r="A32" s="105" t="s">
        <v>95</v>
      </c>
      <c r="B32" s="107">
        <v>45556</v>
      </c>
    </row>
    <row r="33" spans="1:2" x14ac:dyDescent="0.25">
      <c r="A33" s="105" t="s">
        <v>97</v>
      </c>
      <c r="B33" s="110" t="s">
        <v>98</v>
      </c>
    </row>
  </sheetData>
  <mergeCells count="4">
    <mergeCell ref="A1:D1"/>
    <mergeCell ref="A2:D2"/>
    <mergeCell ref="A3:D3"/>
    <mergeCell ref="A19:B19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1"/>
  <sheetViews>
    <sheetView workbookViewId="0">
      <selection activeCell="D14" sqref="D14"/>
    </sheetView>
  </sheetViews>
  <sheetFormatPr defaultRowHeight="15" x14ac:dyDescent="0.25"/>
  <cols>
    <col min="1" max="1" width="27.140625" customWidth="1"/>
    <col min="2" max="4" width="16.7109375" customWidth="1"/>
    <col min="5" max="5" width="10.5703125" bestFit="1" customWidth="1"/>
  </cols>
  <sheetData>
    <row r="1" spans="1:6" x14ac:dyDescent="0.25">
      <c r="A1" s="151" t="s">
        <v>39</v>
      </c>
      <c r="B1" s="152"/>
      <c r="C1" s="152"/>
      <c r="D1" s="153"/>
    </row>
    <row r="2" spans="1:6" x14ac:dyDescent="0.25">
      <c r="A2" s="151" t="s">
        <v>18</v>
      </c>
      <c r="B2" s="152"/>
      <c r="C2" s="152"/>
      <c r="D2" s="153"/>
      <c r="E2" s="113" t="s">
        <v>107</v>
      </c>
      <c r="F2" s="122">
        <f>'Conesul Mecan'!F2</f>
        <v>3.9199999999999999E-2</v>
      </c>
    </row>
    <row r="3" spans="1:6" x14ac:dyDescent="0.25">
      <c r="A3" s="151" t="s">
        <v>19</v>
      </c>
      <c r="B3" s="152"/>
      <c r="C3" s="152"/>
      <c r="D3" s="153"/>
    </row>
    <row r="4" spans="1:6" x14ac:dyDescent="0.25">
      <c r="A4" s="33"/>
      <c r="B4" s="43" t="s">
        <v>53</v>
      </c>
      <c r="C4" s="43" t="s">
        <v>38</v>
      </c>
      <c r="D4" s="43" t="s">
        <v>24</v>
      </c>
    </row>
    <row r="5" spans="1:6" x14ac:dyDescent="0.25">
      <c r="A5" s="43" t="s">
        <v>37</v>
      </c>
      <c r="B5" s="43">
        <v>2023</v>
      </c>
      <c r="C5" s="43">
        <v>2024</v>
      </c>
      <c r="D5" s="43">
        <v>2025</v>
      </c>
    </row>
    <row r="6" spans="1:6" x14ac:dyDescent="0.25">
      <c r="A6" s="7" t="s">
        <v>40</v>
      </c>
      <c r="B6" s="8">
        <v>35788.9</v>
      </c>
      <c r="C6" s="100">
        <f>B17</f>
        <v>39557.919999999998</v>
      </c>
      <c r="D6" s="8">
        <f>C17</f>
        <v>53561.95</v>
      </c>
    </row>
    <row r="7" spans="1:6" x14ac:dyDescent="0.25">
      <c r="A7" s="7" t="s">
        <v>41</v>
      </c>
      <c r="B7" s="8">
        <v>0</v>
      </c>
      <c r="C7" s="8">
        <v>40471.919999999998</v>
      </c>
      <c r="D7" s="8">
        <f>D6</f>
        <v>53561.95</v>
      </c>
    </row>
    <row r="8" spans="1:6" x14ac:dyDescent="0.25">
      <c r="A8" s="7" t="s">
        <v>42</v>
      </c>
      <c r="B8" s="8">
        <v>37798.720000000001</v>
      </c>
      <c r="C8" s="8">
        <v>38497.68</v>
      </c>
      <c r="D8" s="8">
        <f t="shared" ref="D8:D17" si="0">D7</f>
        <v>53561.95</v>
      </c>
      <c r="E8" s="4"/>
    </row>
    <row r="9" spans="1:6" x14ac:dyDescent="0.25">
      <c r="A9" s="7" t="s">
        <v>43</v>
      </c>
      <c r="B9" s="8">
        <f>28666.38+10965.86</f>
        <v>39632.240000000005</v>
      </c>
      <c r="C9" s="8">
        <v>39320.28</v>
      </c>
      <c r="D9" s="8">
        <f t="shared" si="0"/>
        <v>53561.95</v>
      </c>
      <c r="E9" s="4"/>
    </row>
    <row r="10" spans="1:6" x14ac:dyDescent="0.25">
      <c r="A10" s="7" t="s">
        <v>44</v>
      </c>
      <c r="B10" s="8">
        <v>35453.93</v>
      </c>
      <c r="C10" s="8">
        <v>34201.879999999997</v>
      </c>
      <c r="D10" s="8">
        <f t="shared" si="0"/>
        <v>53561.95</v>
      </c>
      <c r="E10" s="4"/>
    </row>
    <row r="11" spans="1:6" x14ac:dyDescent="0.25">
      <c r="A11" s="7" t="s">
        <v>45</v>
      </c>
      <c r="B11" s="8">
        <v>37922.129999999997</v>
      </c>
      <c r="C11" s="8">
        <v>42446.16</v>
      </c>
      <c r="D11" s="8">
        <f t="shared" si="0"/>
        <v>53561.95</v>
      </c>
      <c r="E11" s="5">
        <f>SUM(C7:C11)/5</f>
        <v>38987.584000000003</v>
      </c>
    </row>
    <row r="12" spans="1:6" x14ac:dyDescent="0.25">
      <c r="A12" s="7" t="s">
        <v>46</v>
      </c>
      <c r="B12" s="8">
        <v>35630.230000000003</v>
      </c>
      <c r="C12" s="188">
        <v>38479.4</v>
      </c>
      <c r="D12" s="8">
        <f t="shared" si="0"/>
        <v>53561.95</v>
      </c>
    </row>
    <row r="13" spans="1:6" x14ac:dyDescent="0.25">
      <c r="A13" s="7" t="s">
        <v>47</v>
      </c>
      <c r="B13" s="8">
        <f>876.2+39192.32</f>
        <v>40068.519999999997</v>
      </c>
      <c r="C13" s="188">
        <v>40892.36</v>
      </c>
      <c r="D13" s="8">
        <f t="shared" si="0"/>
        <v>53561.95</v>
      </c>
    </row>
    <row r="14" spans="1:6" x14ac:dyDescent="0.25">
      <c r="A14" s="7" t="s">
        <v>48</v>
      </c>
      <c r="B14" s="8">
        <f>630.33+39896.43</f>
        <v>40526.76</v>
      </c>
      <c r="C14" s="189">
        <v>53561.95</v>
      </c>
      <c r="D14" s="115">
        <f>D13*(1+F2)</f>
        <v>55661.57843999999</v>
      </c>
    </row>
    <row r="15" spans="1:6" x14ac:dyDescent="0.25">
      <c r="A15" s="7" t="s">
        <v>49</v>
      </c>
      <c r="B15" s="8">
        <v>40471.919999999998</v>
      </c>
      <c r="C15" s="100">
        <f>C14</f>
        <v>53561.95</v>
      </c>
      <c r="D15" s="8">
        <f t="shared" si="0"/>
        <v>55661.57843999999</v>
      </c>
    </row>
    <row r="16" spans="1:6" x14ac:dyDescent="0.25">
      <c r="A16" s="7" t="s">
        <v>50</v>
      </c>
      <c r="B16" s="8">
        <v>40618.160000000003</v>
      </c>
      <c r="C16" s="100">
        <f>C15</f>
        <v>53561.95</v>
      </c>
      <c r="D16" s="8">
        <f t="shared" si="0"/>
        <v>55661.57843999999</v>
      </c>
    </row>
    <row r="17" spans="1:4" ht="15.75" thickBot="1" x14ac:dyDescent="0.3">
      <c r="A17" s="11" t="s">
        <v>51</v>
      </c>
      <c r="B17" s="101">
        <f>(37577.09+38936.4+2602.35)/2</f>
        <v>39557.919999999998</v>
      </c>
      <c r="C17" s="100">
        <f>C16</f>
        <v>53561.95</v>
      </c>
      <c r="D17" s="8">
        <f t="shared" si="0"/>
        <v>55661.57843999999</v>
      </c>
    </row>
    <row r="18" spans="1:4" ht="15.75" thickBot="1" x14ac:dyDescent="0.3">
      <c r="A18" s="35" t="s">
        <v>52</v>
      </c>
      <c r="B18" s="36">
        <f>SUM(B6:B17)</f>
        <v>423469.43</v>
      </c>
      <c r="C18" s="36">
        <f>SUM(C6:C17)</f>
        <v>528115.4</v>
      </c>
      <c r="D18" s="36">
        <f>SUM(D6:D17)</f>
        <v>651141.91375999991</v>
      </c>
    </row>
    <row r="19" spans="1:4" ht="33" customHeight="1" thickBot="1" x14ac:dyDescent="0.3">
      <c r="A19" s="154" t="s">
        <v>83</v>
      </c>
      <c r="B19" s="156"/>
      <c r="C19" s="41">
        <v>1100000</v>
      </c>
      <c r="D19" s="42"/>
    </row>
    <row r="20" spans="1:4" ht="15.75" thickBot="1" x14ac:dyDescent="0.3">
      <c r="A20" s="35" t="s">
        <v>81</v>
      </c>
      <c r="B20" s="39"/>
      <c r="C20" s="34">
        <f>C19-C18</f>
        <v>571884.6</v>
      </c>
      <c r="D20" s="40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8" spans="1:4" x14ac:dyDescent="0.25">
      <c r="A28" s="104" t="s">
        <v>93</v>
      </c>
      <c r="B28" s="105"/>
    </row>
    <row r="29" spans="1:4" x14ac:dyDescent="0.25">
      <c r="A29" s="105" t="s">
        <v>94</v>
      </c>
      <c r="B29" s="106">
        <v>44788</v>
      </c>
    </row>
    <row r="30" spans="1:4" x14ac:dyDescent="0.25">
      <c r="A30" s="105" t="s">
        <v>95</v>
      </c>
      <c r="B30" s="107">
        <v>45883</v>
      </c>
    </row>
    <row r="31" spans="1:4" x14ac:dyDescent="0.25">
      <c r="A31" s="105" t="s">
        <v>97</v>
      </c>
      <c r="B31" s="110" t="s">
        <v>98</v>
      </c>
    </row>
  </sheetData>
  <mergeCells count="4">
    <mergeCell ref="A1:D1"/>
    <mergeCell ref="A2:D2"/>
    <mergeCell ref="A3:D3"/>
    <mergeCell ref="A19:B19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2"/>
  <sheetViews>
    <sheetView workbookViewId="0">
      <selection activeCell="C15" sqref="C15"/>
    </sheetView>
  </sheetViews>
  <sheetFormatPr defaultRowHeight="15" x14ac:dyDescent="0.25"/>
  <cols>
    <col min="1" max="1" width="27.140625" customWidth="1"/>
    <col min="2" max="4" width="16.7109375" customWidth="1"/>
  </cols>
  <sheetData>
    <row r="1" spans="1:6" x14ac:dyDescent="0.25">
      <c r="A1" s="151" t="s">
        <v>60</v>
      </c>
      <c r="B1" s="152"/>
      <c r="C1" s="152"/>
      <c r="D1" s="153"/>
    </row>
    <row r="2" spans="1:6" x14ac:dyDescent="0.25">
      <c r="A2" s="151" t="s">
        <v>18</v>
      </c>
      <c r="B2" s="152"/>
      <c r="C2" s="152"/>
      <c r="D2" s="153"/>
      <c r="E2" s="113" t="s">
        <v>107</v>
      </c>
      <c r="F2" s="122">
        <f>'Conesul Seletiva'!F2</f>
        <v>3.9199999999999999E-2</v>
      </c>
    </row>
    <row r="3" spans="1:6" x14ac:dyDescent="0.25">
      <c r="A3" s="151" t="s">
        <v>61</v>
      </c>
      <c r="B3" s="152"/>
      <c r="C3" s="152"/>
      <c r="D3" s="153"/>
    </row>
    <row r="4" spans="1:6" x14ac:dyDescent="0.25">
      <c r="A4" s="33"/>
      <c r="B4" s="43" t="s">
        <v>53</v>
      </c>
      <c r="C4" s="43" t="s">
        <v>38</v>
      </c>
      <c r="D4" s="43" t="s">
        <v>24</v>
      </c>
    </row>
    <row r="5" spans="1:6" x14ac:dyDescent="0.25">
      <c r="A5" s="43" t="s">
        <v>37</v>
      </c>
      <c r="B5" s="43">
        <v>2023</v>
      </c>
      <c r="C5" s="43">
        <v>2024</v>
      </c>
      <c r="D5" s="43">
        <v>2025</v>
      </c>
    </row>
    <row r="6" spans="1:6" x14ac:dyDescent="0.25">
      <c r="A6" s="7" t="s">
        <v>40</v>
      </c>
      <c r="B6" s="8">
        <v>56404.91</v>
      </c>
      <c r="C6" s="8">
        <v>56404.91</v>
      </c>
      <c r="D6" s="8">
        <f>C17</f>
        <v>58806.89</v>
      </c>
    </row>
    <row r="7" spans="1:6" x14ac:dyDescent="0.25">
      <c r="A7" s="7" t="s">
        <v>41</v>
      </c>
      <c r="B7" s="8">
        <v>0</v>
      </c>
      <c r="C7" s="8">
        <v>56404.91</v>
      </c>
      <c r="D7" s="8">
        <f>D6</f>
        <v>58806.89</v>
      </c>
    </row>
    <row r="8" spans="1:6" x14ac:dyDescent="0.25">
      <c r="A8" s="7" t="s">
        <v>42</v>
      </c>
      <c r="B8" s="8">
        <v>56404.91</v>
      </c>
      <c r="C8" s="8">
        <v>56404.91</v>
      </c>
      <c r="D8" s="8">
        <f t="shared" ref="D8:D17" si="0">D7</f>
        <v>58806.89</v>
      </c>
      <c r="E8" s="4"/>
    </row>
    <row r="9" spans="1:6" x14ac:dyDescent="0.25">
      <c r="A9" s="7" t="s">
        <v>43</v>
      </c>
      <c r="B9" s="8">
        <v>0</v>
      </c>
      <c r="C9" s="8">
        <v>56404.91</v>
      </c>
      <c r="D9" s="8">
        <f t="shared" si="0"/>
        <v>58806.89</v>
      </c>
      <c r="E9" s="4"/>
    </row>
    <row r="10" spans="1:6" x14ac:dyDescent="0.25">
      <c r="A10" s="7" t="s">
        <v>44</v>
      </c>
      <c r="B10" s="8">
        <v>56404.91</v>
      </c>
      <c r="C10" s="8">
        <v>56404.91</v>
      </c>
      <c r="D10" s="8">
        <f t="shared" si="0"/>
        <v>58806.89</v>
      </c>
      <c r="E10" s="4"/>
    </row>
    <row r="11" spans="1:6" x14ac:dyDescent="0.25">
      <c r="A11" s="7" t="s">
        <v>45</v>
      </c>
      <c r="B11" s="8">
        <v>56404.91</v>
      </c>
      <c r="C11" s="8">
        <v>56404.91</v>
      </c>
      <c r="D11" s="8">
        <f t="shared" si="0"/>
        <v>58806.89</v>
      </c>
    </row>
    <row r="12" spans="1:6" x14ac:dyDescent="0.25">
      <c r="A12" s="7" t="s">
        <v>46</v>
      </c>
      <c r="B12" s="8">
        <v>56404.91</v>
      </c>
      <c r="C12" s="188">
        <v>56404.91</v>
      </c>
      <c r="D12" s="8">
        <f t="shared" si="0"/>
        <v>58806.89</v>
      </c>
    </row>
    <row r="13" spans="1:6" x14ac:dyDescent="0.25">
      <c r="A13" s="7" t="s">
        <v>47</v>
      </c>
      <c r="B13" s="8">
        <v>56404.91</v>
      </c>
      <c r="C13" s="188">
        <v>56404.91</v>
      </c>
      <c r="D13" s="8">
        <f t="shared" si="0"/>
        <v>58806.89</v>
      </c>
    </row>
    <row r="14" spans="1:6" x14ac:dyDescent="0.25">
      <c r="A14" s="7" t="s">
        <v>48</v>
      </c>
      <c r="B14" s="8">
        <v>56404.91</v>
      </c>
      <c r="C14" s="189">
        <v>58806.89</v>
      </c>
      <c r="D14" s="115">
        <f>D13*(1+F2)</f>
        <v>61112.120087999996</v>
      </c>
    </row>
    <row r="15" spans="1:6" x14ac:dyDescent="0.25">
      <c r="A15" s="7" t="s">
        <v>49</v>
      </c>
      <c r="B15" s="8">
        <v>56404.91</v>
      </c>
      <c r="C15" s="100">
        <f>C14</f>
        <v>58806.89</v>
      </c>
      <c r="D15" s="8">
        <f t="shared" si="0"/>
        <v>61112.120087999996</v>
      </c>
    </row>
    <row r="16" spans="1:6" x14ac:dyDescent="0.25">
      <c r="A16" s="7" t="s">
        <v>50</v>
      </c>
      <c r="B16" s="8">
        <v>56404.91</v>
      </c>
      <c r="C16" s="100">
        <f>C15</f>
        <v>58806.89</v>
      </c>
      <c r="D16" s="8">
        <f t="shared" si="0"/>
        <v>61112.120087999996</v>
      </c>
    </row>
    <row r="17" spans="1:4" ht="15.75" thickBot="1" x14ac:dyDescent="0.3">
      <c r="A17" s="11" t="s">
        <v>51</v>
      </c>
      <c r="B17" s="12">
        <v>56404.91</v>
      </c>
      <c r="C17" s="100">
        <f>C16</f>
        <v>58806.89</v>
      </c>
      <c r="D17" s="8">
        <f t="shared" si="0"/>
        <v>61112.120087999996</v>
      </c>
    </row>
    <row r="18" spans="1:4" ht="15.75" thickBot="1" x14ac:dyDescent="0.3">
      <c r="A18" s="35" t="s">
        <v>52</v>
      </c>
      <c r="B18" s="53">
        <f>SUM(B6:B17)</f>
        <v>564049.10000000021</v>
      </c>
      <c r="C18" s="53">
        <f>SUM(C6:C17)</f>
        <v>686466.8400000002</v>
      </c>
      <c r="D18" s="54">
        <f>SUM(D6:D17)</f>
        <v>714903.60035199998</v>
      </c>
    </row>
    <row r="19" spans="1:4" ht="37.5" customHeight="1" thickBot="1" x14ac:dyDescent="0.3">
      <c r="A19" s="154" t="s">
        <v>82</v>
      </c>
      <c r="B19" s="156"/>
      <c r="C19" s="51">
        <f>'Conesul Seletiva'!C20</f>
        <v>571884.6</v>
      </c>
      <c r="D19" s="52"/>
    </row>
    <row r="20" spans="1:4" ht="15.75" thickBot="1" x14ac:dyDescent="0.3">
      <c r="A20" s="35" t="s">
        <v>81</v>
      </c>
      <c r="B20" s="39"/>
      <c r="C20" s="34">
        <f>C19-C18</f>
        <v>-114582.24000000022</v>
      </c>
      <c r="D20" s="40"/>
    </row>
    <row r="21" spans="1:4" x14ac:dyDescent="0.25">
      <c r="A21" s="44"/>
      <c r="B21" s="44"/>
      <c r="C21" s="45"/>
      <c r="D21" s="44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5" spans="1:4" x14ac:dyDescent="0.25">
      <c r="A25" t="s">
        <v>89</v>
      </c>
    </row>
    <row r="29" spans="1:4" x14ac:dyDescent="0.25">
      <c r="A29" s="104" t="s">
        <v>101</v>
      </c>
      <c r="B29" s="105"/>
    </row>
    <row r="30" spans="1:4" x14ac:dyDescent="0.25">
      <c r="A30" s="105" t="s">
        <v>94</v>
      </c>
      <c r="B30" s="106">
        <v>45170</v>
      </c>
    </row>
    <row r="31" spans="1:4" x14ac:dyDescent="0.25">
      <c r="A31" s="105" t="s">
        <v>95</v>
      </c>
      <c r="B31" s="107">
        <v>46631</v>
      </c>
    </row>
    <row r="32" spans="1:4" x14ac:dyDescent="0.25">
      <c r="A32" s="105" t="s">
        <v>97</v>
      </c>
      <c r="B32" s="109" t="s">
        <v>100</v>
      </c>
    </row>
  </sheetData>
  <mergeCells count="4">
    <mergeCell ref="A1:D1"/>
    <mergeCell ref="A2:D2"/>
    <mergeCell ref="A3:D3"/>
    <mergeCell ref="A19:B19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2"/>
  <sheetViews>
    <sheetView workbookViewId="0">
      <selection activeCell="C14" sqref="C14"/>
    </sheetView>
  </sheetViews>
  <sheetFormatPr defaultRowHeight="15" x14ac:dyDescent="0.25"/>
  <cols>
    <col min="1" max="1" width="27.140625" customWidth="1"/>
    <col min="2" max="4" width="16.7109375" customWidth="1"/>
    <col min="7" max="7" width="15.5703125" customWidth="1"/>
    <col min="8" max="8" width="14" customWidth="1"/>
    <col min="9" max="9" width="10.5703125" bestFit="1" customWidth="1"/>
  </cols>
  <sheetData>
    <row r="1" spans="1:9" x14ac:dyDescent="0.25">
      <c r="A1" s="151" t="s">
        <v>60</v>
      </c>
      <c r="B1" s="152"/>
      <c r="C1" s="152"/>
      <c r="D1" s="153"/>
    </row>
    <row r="2" spans="1:9" x14ac:dyDescent="0.25">
      <c r="A2" s="151" t="s">
        <v>34</v>
      </c>
      <c r="B2" s="152"/>
      <c r="C2" s="152"/>
      <c r="D2" s="153"/>
      <c r="E2" s="113" t="s">
        <v>107</v>
      </c>
      <c r="F2" s="122">
        <f>'Coomcat Coleta'!F2</f>
        <v>3.9199999999999999E-2</v>
      </c>
    </row>
    <row r="3" spans="1:9" ht="15.75" thickBot="1" x14ac:dyDescent="0.3">
      <c r="A3" s="157" t="s">
        <v>62</v>
      </c>
      <c r="B3" s="158"/>
      <c r="C3" s="158"/>
      <c r="D3" s="159"/>
    </row>
    <row r="4" spans="1:9" x14ac:dyDescent="0.25">
      <c r="A4" s="25"/>
      <c r="B4" s="26" t="s">
        <v>53</v>
      </c>
      <c r="C4" s="26" t="s">
        <v>38</v>
      </c>
      <c r="D4" s="28" t="s">
        <v>24</v>
      </c>
    </row>
    <row r="5" spans="1:9" ht="15.75" thickBot="1" x14ac:dyDescent="0.3">
      <c r="A5" s="29" t="s">
        <v>37</v>
      </c>
      <c r="B5" s="30">
        <v>2023</v>
      </c>
      <c r="C5" s="30">
        <v>2024</v>
      </c>
      <c r="D5" s="31">
        <v>2025</v>
      </c>
    </row>
    <row r="6" spans="1:9" x14ac:dyDescent="0.25">
      <c r="A6" s="9" t="s">
        <v>40</v>
      </c>
      <c r="B6" s="10">
        <v>55055.35</v>
      </c>
      <c r="C6" s="10">
        <f>55055.35+10000</f>
        <v>65055.35</v>
      </c>
      <c r="D6" s="10">
        <f>C17</f>
        <v>67399.850000000006</v>
      </c>
      <c r="G6" s="5"/>
      <c r="H6" s="5"/>
      <c r="I6" s="5"/>
    </row>
    <row r="7" spans="1:9" x14ac:dyDescent="0.25">
      <c r="A7" s="7" t="s">
        <v>41</v>
      </c>
      <c r="B7" s="8">
        <f>56404.91+55055.33</f>
        <v>111460.24</v>
      </c>
      <c r="C7" s="8">
        <f>65055.35</f>
        <v>65055.35</v>
      </c>
      <c r="D7" s="8">
        <f>D6</f>
        <v>67399.850000000006</v>
      </c>
      <c r="G7" s="5"/>
      <c r="H7" s="5"/>
    </row>
    <row r="8" spans="1:9" x14ac:dyDescent="0.25">
      <c r="A8" s="7" t="s">
        <v>42</v>
      </c>
      <c r="B8" s="8">
        <f>55055.35</f>
        <v>55055.35</v>
      </c>
      <c r="C8" s="8">
        <v>65055.35</v>
      </c>
      <c r="D8" s="8">
        <f t="shared" ref="D8:D17" si="0">D7</f>
        <v>67399.850000000006</v>
      </c>
      <c r="E8" s="4"/>
      <c r="G8" s="5"/>
      <c r="H8" s="5"/>
    </row>
    <row r="9" spans="1:9" x14ac:dyDescent="0.25">
      <c r="A9" s="7" t="s">
        <v>43</v>
      </c>
      <c r="B9" s="8">
        <f>55055.35+56404.91</f>
        <v>111460.26000000001</v>
      </c>
      <c r="C9" s="100">
        <f>65000</f>
        <v>65000</v>
      </c>
      <c r="D9" s="8">
        <f t="shared" si="0"/>
        <v>67399.850000000006</v>
      </c>
      <c r="E9" s="4"/>
      <c r="G9" s="5"/>
      <c r="H9" s="5"/>
    </row>
    <row r="10" spans="1:9" x14ac:dyDescent="0.25">
      <c r="A10" s="7" t="s">
        <v>44</v>
      </c>
      <c r="B10" s="8">
        <v>55055.35</v>
      </c>
      <c r="C10" s="8">
        <v>65055.35</v>
      </c>
      <c r="D10" s="8">
        <f t="shared" si="0"/>
        <v>67399.850000000006</v>
      </c>
      <c r="E10" s="4"/>
      <c r="G10" s="5"/>
      <c r="H10" s="5"/>
    </row>
    <row r="11" spans="1:9" x14ac:dyDescent="0.25">
      <c r="A11" s="7" t="s">
        <v>45</v>
      </c>
      <c r="B11" s="8">
        <v>55055.35</v>
      </c>
      <c r="C11" s="8">
        <v>65055.35</v>
      </c>
      <c r="D11" s="8">
        <f t="shared" si="0"/>
        <v>67399.850000000006</v>
      </c>
      <c r="G11" s="5"/>
      <c r="H11" s="5"/>
    </row>
    <row r="12" spans="1:9" x14ac:dyDescent="0.25">
      <c r="A12" s="7" t="s">
        <v>46</v>
      </c>
      <c r="B12" s="8">
        <v>55055.35</v>
      </c>
      <c r="C12" s="8">
        <v>65055.35</v>
      </c>
      <c r="D12" s="8">
        <f t="shared" si="0"/>
        <v>67399.850000000006</v>
      </c>
      <c r="G12" s="5"/>
      <c r="H12" s="5"/>
    </row>
    <row r="13" spans="1:9" x14ac:dyDescent="0.25">
      <c r="A13" s="7" t="s">
        <v>47</v>
      </c>
      <c r="B13" s="8">
        <v>55055.35</v>
      </c>
      <c r="C13" s="188">
        <v>65055.35</v>
      </c>
      <c r="D13" s="8">
        <f t="shared" si="0"/>
        <v>67399.850000000006</v>
      </c>
      <c r="G13" s="5"/>
      <c r="H13" s="5"/>
    </row>
    <row r="14" spans="1:9" x14ac:dyDescent="0.25">
      <c r="A14" s="7" t="s">
        <v>48</v>
      </c>
      <c r="B14" s="8">
        <v>55055.35</v>
      </c>
      <c r="C14" s="189">
        <v>67399.850000000006</v>
      </c>
      <c r="D14" s="115">
        <f>D13*(1+F2)</f>
        <v>70041.924119999996</v>
      </c>
      <c r="G14" s="5"/>
      <c r="H14" s="5"/>
    </row>
    <row r="15" spans="1:9" x14ac:dyDescent="0.25">
      <c r="A15" s="7" t="s">
        <v>49</v>
      </c>
      <c r="B15" s="8">
        <v>55055.35</v>
      </c>
      <c r="C15" s="100">
        <f>C14</f>
        <v>67399.850000000006</v>
      </c>
      <c r="D15" s="8">
        <f t="shared" si="0"/>
        <v>70041.924119999996</v>
      </c>
      <c r="G15" s="5"/>
      <c r="H15" s="5"/>
    </row>
    <row r="16" spans="1:9" x14ac:dyDescent="0.25">
      <c r="A16" s="7" t="s">
        <v>50</v>
      </c>
      <c r="B16" s="8">
        <v>55055.35</v>
      </c>
      <c r="C16" s="100">
        <f>C15</f>
        <v>67399.850000000006</v>
      </c>
      <c r="D16" s="8">
        <f t="shared" si="0"/>
        <v>70041.924119999996</v>
      </c>
      <c r="G16" s="5"/>
      <c r="H16" s="5"/>
    </row>
    <row r="17" spans="1:8" ht="15.75" thickBot="1" x14ac:dyDescent="0.3">
      <c r="A17" s="11" t="s">
        <v>51</v>
      </c>
      <c r="B17" s="12">
        <f>55055.35+30000</f>
        <v>85055.35</v>
      </c>
      <c r="C17" s="100">
        <f>C16</f>
        <v>67399.850000000006</v>
      </c>
      <c r="D17" s="8">
        <f t="shared" si="0"/>
        <v>70041.924119999996</v>
      </c>
      <c r="G17" s="5"/>
      <c r="H17" s="5"/>
    </row>
    <row r="18" spans="1:8" ht="15.75" thickBot="1" x14ac:dyDescent="0.3">
      <c r="A18" s="56" t="s">
        <v>52</v>
      </c>
      <c r="B18" s="57">
        <f>SUM(B6:B17)</f>
        <v>803473.99999999988</v>
      </c>
      <c r="C18" s="57">
        <f>SUM(C6:C17)</f>
        <v>789986.84999999986</v>
      </c>
      <c r="D18" s="58">
        <f>SUM(D6:D17)</f>
        <v>819366.49647999986</v>
      </c>
      <c r="G18" s="5"/>
      <c r="H18" s="5"/>
    </row>
    <row r="19" spans="1:8" ht="29.25" customHeight="1" thickBot="1" x14ac:dyDescent="0.3">
      <c r="A19" s="154" t="s">
        <v>88</v>
      </c>
      <c r="B19" s="156"/>
      <c r="C19" s="41">
        <f>CRVR!C20</f>
        <v>-103141.47000000067</v>
      </c>
      <c r="D19" s="42"/>
    </row>
    <row r="20" spans="1:8" ht="25.5" customHeight="1" thickBot="1" x14ac:dyDescent="0.3">
      <c r="A20" s="35" t="s">
        <v>85</v>
      </c>
      <c r="B20" s="39"/>
      <c r="C20" s="34">
        <f>C19-C18</f>
        <v>-893128.32000000053</v>
      </c>
      <c r="D20" s="40"/>
    </row>
    <row r="22" spans="1:8" x14ac:dyDescent="0.25">
      <c r="A22" t="s">
        <v>73</v>
      </c>
    </row>
    <row r="23" spans="1:8" x14ac:dyDescent="0.25">
      <c r="A23" t="s">
        <v>70</v>
      </c>
    </row>
    <row r="24" spans="1:8" x14ac:dyDescent="0.25">
      <c r="A24" t="s">
        <v>64</v>
      </c>
    </row>
    <row r="29" spans="1:8" x14ac:dyDescent="0.25">
      <c r="A29" s="104" t="s">
        <v>99</v>
      </c>
      <c r="B29" s="105"/>
    </row>
    <row r="30" spans="1:8" x14ac:dyDescent="0.25">
      <c r="A30" s="105" t="s">
        <v>94</v>
      </c>
      <c r="B30" s="106">
        <v>45170</v>
      </c>
    </row>
    <row r="31" spans="1:8" x14ac:dyDescent="0.25">
      <c r="A31" s="105" t="s">
        <v>95</v>
      </c>
      <c r="B31" s="107">
        <v>46631</v>
      </c>
    </row>
    <row r="32" spans="1:8" x14ac:dyDescent="0.25">
      <c r="A32" s="105" t="s">
        <v>97</v>
      </c>
      <c r="B32" s="109" t="s">
        <v>100</v>
      </c>
    </row>
  </sheetData>
  <mergeCells count="4">
    <mergeCell ref="A19:B19"/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49"/>
  <sheetViews>
    <sheetView topLeftCell="A23" workbookViewId="0">
      <selection activeCell="D26" sqref="D26"/>
    </sheetView>
  </sheetViews>
  <sheetFormatPr defaultRowHeight="15" x14ac:dyDescent="0.25"/>
  <cols>
    <col min="1" max="1" width="13.28515625" customWidth="1"/>
    <col min="2" max="2" width="21.5703125" customWidth="1"/>
    <col min="3" max="3" width="13.28515625" customWidth="1"/>
    <col min="4" max="4" width="11.85546875" customWidth="1"/>
    <col min="5" max="5" width="12.85546875" customWidth="1"/>
    <col min="6" max="6" width="14.42578125" customWidth="1"/>
    <col min="7" max="7" width="8.5703125" customWidth="1"/>
    <col min="8" max="8" width="8" customWidth="1"/>
    <col min="9" max="9" width="10.7109375" customWidth="1"/>
    <col min="10" max="10" width="18.5703125" customWidth="1"/>
    <col min="11" max="11" width="8.140625" customWidth="1"/>
    <col min="12" max="12" width="7.7109375" customWidth="1"/>
    <col min="13" max="13" width="10" customWidth="1"/>
    <col min="14" max="14" width="16" customWidth="1"/>
    <col min="15" max="16" width="8.42578125" customWidth="1"/>
    <col min="17" max="17" width="14.28515625" customWidth="1"/>
    <col min="18" max="18" width="15.85546875" customWidth="1"/>
    <col min="19" max="19" width="14.42578125" customWidth="1"/>
    <col min="20" max="20" width="10" customWidth="1"/>
  </cols>
  <sheetData>
    <row r="1" spans="1:16" x14ac:dyDescent="0.25">
      <c r="A1" s="164" t="s">
        <v>55</v>
      </c>
      <c r="B1" s="165"/>
      <c r="C1" s="165"/>
      <c r="D1" s="166"/>
      <c r="E1" s="164" t="s">
        <v>55</v>
      </c>
      <c r="F1" s="165"/>
      <c r="G1" s="165"/>
      <c r="H1" s="166"/>
      <c r="I1" s="164" t="s">
        <v>55</v>
      </c>
      <c r="J1" s="165"/>
      <c r="K1" s="165"/>
      <c r="L1" s="166"/>
      <c r="M1" s="164" t="s">
        <v>55</v>
      </c>
      <c r="N1" s="165"/>
      <c r="O1" s="165"/>
      <c r="P1" s="166"/>
    </row>
    <row r="2" spans="1:16" x14ac:dyDescent="0.25">
      <c r="A2" s="164" t="s">
        <v>63</v>
      </c>
      <c r="B2" s="165"/>
      <c r="C2" s="165"/>
      <c r="D2" s="166"/>
      <c r="E2" s="164" t="s">
        <v>63</v>
      </c>
      <c r="F2" s="165"/>
      <c r="G2" s="165"/>
      <c r="H2" s="166"/>
      <c r="I2" s="164" t="s">
        <v>63</v>
      </c>
      <c r="J2" s="165"/>
      <c r="K2" s="165"/>
      <c r="L2" s="166"/>
      <c r="M2" s="164" t="s">
        <v>63</v>
      </c>
      <c r="N2" s="165"/>
      <c r="O2" s="165"/>
      <c r="P2" s="166"/>
    </row>
    <row r="3" spans="1:16" ht="15.75" thickBot="1" x14ac:dyDescent="0.3">
      <c r="A3" s="167" t="s">
        <v>10</v>
      </c>
      <c r="B3" s="168"/>
      <c r="C3" s="168"/>
      <c r="D3" s="169"/>
      <c r="E3" s="167" t="s">
        <v>65</v>
      </c>
      <c r="F3" s="168"/>
      <c r="G3" s="168"/>
      <c r="H3" s="169"/>
      <c r="I3" s="167" t="s">
        <v>66</v>
      </c>
      <c r="J3" s="168"/>
      <c r="K3" s="168"/>
      <c r="L3" s="169"/>
      <c r="M3" s="167" t="s">
        <v>69</v>
      </c>
      <c r="N3" s="168"/>
      <c r="O3" s="168"/>
      <c r="P3" s="169"/>
    </row>
    <row r="4" spans="1:16" x14ac:dyDescent="0.25">
      <c r="A4" s="62"/>
      <c r="B4" s="63" t="s">
        <v>53</v>
      </c>
      <c r="C4" s="63" t="s">
        <v>38</v>
      </c>
      <c r="D4" s="63" t="s">
        <v>24</v>
      </c>
      <c r="E4" s="64"/>
      <c r="F4" s="63" t="s">
        <v>53</v>
      </c>
      <c r="G4" s="63" t="s">
        <v>38</v>
      </c>
      <c r="H4" s="63" t="s">
        <v>24</v>
      </c>
      <c r="I4" s="64"/>
      <c r="J4" s="63" t="s">
        <v>53</v>
      </c>
      <c r="K4" s="63" t="s">
        <v>38</v>
      </c>
      <c r="L4" s="63" t="s">
        <v>24</v>
      </c>
      <c r="M4" s="64"/>
      <c r="N4" s="63" t="s">
        <v>53</v>
      </c>
      <c r="O4" s="63" t="s">
        <v>38</v>
      </c>
      <c r="P4" s="65" t="s">
        <v>24</v>
      </c>
    </row>
    <row r="5" spans="1:16" ht="15.75" thickBot="1" x14ac:dyDescent="0.3">
      <c r="A5" s="66" t="s">
        <v>37</v>
      </c>
      <c r="B5" s="67">
        <v>2023</v>
      </c>
      <c r="C5" s="67">
        <v>2024</v>
      </c>
      <c r="D5" s="67">
        <v>2025</v>
      </c>
      <c r="E5" s="67" t="s">
        <v>37</v>
      </c>
      <c r="F5" s="67">
        <v>2023</v>
      </c>
      <c r="G5" s="67">
        <v>2024</v>
      </c>
      <c r="H5" s="67">
        <v>2025</v>
      </c>
      <c r="I5" s="67" t="s">
        <v>37</v>
      </c>
      <c r="J5" s="67">
        <v>2023</v>
      </c>
      <c r="K5" s="67">
        <v>2024</v>
      </c>
      <c r="L5" s="67">
        <v>2025</v>
      </c>
      <c r="M5" s="67" t="s">
        <v>37</v>
      </c>
      <c r="N5" s="67">
        <v>2023</v>
      </c>
      <c r="O5" s="67">
        <v>2024</v>
      </c>
      <c r="P5" s="68">
        <v>2025</v>
      </c>
    </row>
    <row r="6" spans="1:16" x14ac:dyDescent="0.25">
      <c r="A6" s="69" t="s">
        <v>40</v>
      </c>
      <c r="B6" s="70">
        <v>0</v>
      </c>
      <c r="C6" s="70">
        <v>0</v>
      </c>
      <c r="D6" s="70">
        <v>0</v>
      </c>
      <c r="E6" s="71" t="s">
        <v>40</v>
      </c>
      <c r="F6" s="70">
        <v>0</v>
      </c>
      <c r="G6" s="70">
        <v>0</v>
      </c>
      <c r="H6" s="70">
        <v>0</v>
      </c>
      <c r="I6" s="71" t="s">
        <v>40</v>
      </c>
      <c r="J6" s="70">
        <v>0</v>
      </c>
      <c r="K6" s="70">
        <v>0</v>
      </c>
      <c r="L6" s="70">
        <v>0</v>
      </c>
      <c r="M6" s="71" t="s">
        <v>40</v>
      </c>
      <c r="N6" s="70">
        <f>B6+F6+J6</f>
        <v>0</v>
      </c>
      <c r="O6" s="70">
        <v>0</v>
      </c>
      <c r="P6" s="72">
        <v>0</v>
      </c>
    </row>
    <row r="7" spans="1:16" x14ac:dyDescent="0.25">
      <c r="A7" s="73" t="s">
        <v>41</v>
      </c>
      <c r="B7" s="74">
        <v>148455.98000000001</v>
      </c>
      <c r="C7" s="74">
        <v>0</v>
      </c>
      <c r="D7" s="74">
        <v>0</v>
      </c>
      <c r="E7" s="75" t="s">
        <v>41</v>
      </c>
      <c r="F7" s="74">
        <v>0</v>
      </c>
      <c r="G7" s="74">
        <v>0</v>
      </c>
      <c r="H7" s="74">
        <v>0</v>
      </c>
      <c r="I7" s="75" t="s">
        <v>41</v>
      </c>
      <c r="J7" s="74">
        <v>0</v>
      </c>
      <c r="K7" s="74">
        <v>0</v>
      </c>
      <c r="L7" s="74">
        <v>0</v>
      </c>
      <c r="M7" s="75" t="s">
        <v>41</v>
      </c>
      <c r="N7" s="76">
        <f t="shared" ref="N7:N17" si="0">B7+F7+J7</f>
        <v>148455.98000000001</v>
      </c>
      <c r="O7" s="74">
        <v>0</v>
      </c>
      <c r="P7" s="77">
        <v>0</v>
      </c>
    </row>
    <row r="8" spans="1:16" x14ac:dyDescent="0.25">
      <c r="A8" s="73" t="s">
        <v>42</v>
      </c>
      <c r="B8" s="74">
        <v>135621.10999999999</v>
      </c>
      <c r="C8" s="74">
        <v>0</v>
      </c>
      <c r="D8" s="74">
        <v>0</v>
      </c>
      <c r="E8" s="75" t="s">
        <v>42</v>
      </c>
      <c r="F8" s="74">
        <v>0</v>
      </c>
      <c r="G8" s="74">
        <v>0</v>
      </c>
      <c r="H8" s="74">
        <v>0</v>
      </c>
      <c r="I8" s="75" t="s">
        <v>42</v>
      </c>
      <c r="J8" s="74">
        <v>0</v>
      </c>
      <c r="K8" s="74">
        <v>0</v>
      </c>
      <c r="L8" s="74">
        <v>0</v>
      </c>
      <c r="M8" s="75" t="s">
        <v>42</v>
      </c>
      <c r="N8" s="76">
        <f t="shared" si="0"/>
        <v>135621.10999999999</v>
      </c>
      <c r="O8" s="74">
        <v>0</v>
      </c>
      <c r="P8" s="77">
        <v>0</v>
      </c>
    </row>
    <row r="9" spans="1:16" x14ac:dyDescent="0.25">
      <c r="A9" s="73" t="s">
        <v>43</v>
      </c>
      <c r="B9" s="74">
        <f>16126.9+17652.77</f>
        <v>33779.67</v>
      </c>
      <c r="C9" s="74">
        <v>0</v>
      </c>
      <c r="D9" s="74">
        <v>0</v>
      </c>
      <c r="E9" s="75" t="s">
        <v>43</v>
      </c>
      <c r="F9" s="74">
        <v>0</v>
      </c>
      <c r="G9" s="74">
        <v>0</v>
      </c>
      <c r="H9" s="74">
        <v>0</v>
      </c>
      <c r="I9" s="75" t="s">
        <v>43</v>
      </c>
      <c r="J9" s="74">
        <v>0</v>
      </c>
      <c r="K9" s="74">
        <v>0</v>
      </c>
      <c r="L9" s="74">
        <v>0</v>
      </c>
      <c r="M9" s="75" t="s">
        <v>43</v>
      </c>
      <c r="N9" s="76">
        <f t="shared" si="0"/>
        <v>33779.67</v>
      </c>
      <c r="O9" s="74">
        <v>0</v>
      </c>
      <c r="P9" s="77">
        <v>0</v>
      </c>
    </row>
    <row r="10" spans="1:16" x14ac:dyDescent="0.25">
      <c r="A10" s="73" t="s">
        <v>44</v>
      </c>
      <c r="B10" s="74">
        <f>181343.54+159066.05</f>
        <v>340409.58999999997</v>
      </c>
      <c r="C10" s="74">
        <v>0</v>
      </c>
      <c r="D10" s="74">
        <v>0</v>
      </c>
      <c r="E10" s="75" t="s">
        <v>44</v>
      </c>
      <c r="F10" s="74">
        <v>0</v>
      </c>
      <c r="G10" s="74">
        <v>0</v>
      </c>
      <c r="H10" s="74">
        <v>0</v>
      </c>
      <c r="I10" s="75" t="s">
        <v>44</v>
      </c>
      <c r="J10" s="74">
        <v>0</v>
      </c>
      <c r="K10" s="74">
        <v>0</v>
      </c>
      <c r="L10" s="74">
        <v>0</v>
      </c>
      <c r="M10" s="75" t="s">
        <v>44</v>
      </c>
      <c r="N10" s="76">
        <f t="shared" si="0"/>
        <v>340409.58999999997</v>
      </c>
      <c r="O10" s="74">
        <v>0</v>
      </c>
      <c r="P10" s="77">
        <v>0</v>
      </c>
    </row>
    <row r="11" spans="1:16" x14ac:dyDescent="0.25">
      <c r="A11" s="73" t="s">
        <v>45</v>
      </c>
      <c r="B11" s="74">
        <f>120058.58+9163.52</f>
        <v>129222.1</v>
      </c>
      <c r="C11" s="74">
        <v>0</v>
      </c>
      <c r="D11" s="74">
        <v>0</v>
      </c>
      <c r="E11" s="75" t="s">
        <v>45</v>
      </c>
      <c r="F11" s="74">
        <v>144147.87</v>
      </c>
      <c r="G11" s="74">
        <v>0</v>
      </c>
      <c r="H11" s="74">
        <v>0</v>
      </c>
      <c r="I11" s="75" t="s">
        <v>45</v>
      </c>
      <c r="J11" s="74">
        <v>0</v>
      </c>
      <c r="K11" s="74">
        <v>0</v>
      </c>
      <c r="L11" s="74">
        <v>0</v>
      </c>
      <c r="M11" s="75" t="s">
        <v>45</v>
      </c>
      <c r="N11" s="76">
        <f t="shared" si="0"/>
        <v>273369.96999999997</v>
      </c>
      <c r="O11" s="74">
        <v>0</v>
      </c>
      <c r="P11" s="77">
        <v>0</v>
      </c>
    </row>
    <row r="12" spans="1:16" x14ac:dyDescent="0.25">
      <c r="A12" s="73" t="s">
        <v>46</v>
      </c>
      <c r="B12" s="74">
        <v>0</v>
      </c>
      <c r="C12" s="74">
        <v>0</v>
      </c>
      <c r="D12" s="74">
        <v>0</v>
      </c>
      <c r="E12" s="75" t="s">
        <v>46</v>
      </c>
      <c r="F12" s="74">
        <v>142890.23000000001</v>
      </c>
      <c r="G12" s="74">
        <v>0</v>
      </c>
      <c r="H12" s="74">
        <v>0</v>
      </c>
      <c r="I12" s="75" t="s">
        <v>46</v>
      </c>
      <c r="J12" s="74">
        <v>0</v>
      </c>
      <c r="K12" s="74">
        <v>0</v>
      </c>
      <c r="L12" s="74">
        <v>0</v>
      </c>
      <c r="M12" s="75" t="s">
        <v>46</v>
      </c>
      <c r="N12" s="76">
        <f t="shared" si="0"/>
        <v>142890.23000000001</v>
      </c>
      <c r="O12" s="74">
        <v>0</v>
      </c>
      <c r="P12" s="77">
        <v>0</v>
      </c>
    </row>
    <row r="13" spans="1:16" x14ac:dyDescent="0.25">
      <c r="A13" s="73" t="s">
        <v>47</v>
      </c>
      <c r="B13" s="74">
        <v>0</v>
      </c>
      <c r="C13" s="74">
        <v>0</v>
      </c>
      <c r="D13" s="74">
        <v>0</v>
      </c>
      <c r="E13" s="75" t="s">
        <v>47</v>
      </c>
      <c r="F13" s="74">
        <v>142720.56</v>
      </c>
      <c r="G13" s="74">
        <v>0</v>
      </c>
      <c r="H13" s="74">
        <v>0</v>
      </c>
      <c r="I13" s="75" t="s">
        <v>47</v>
      </c>
      <c r="J13" s="74">
        <v>0</v>
      </c>
      <c r="K13" s="74">
        <v>0</v>
      </c>
      <c r="L13" s="74">
        <v>0</v>
      </c>
      <c r="M13" s="75" t="s">
        <v>47</v>
      </c>
      <c r="N13" s="76">
        <f t="shared" si="0"/>
        <v>142720.56</v>
      </c>
      <c r="O13" s="74">
        <v>0</v>
      </c>
      <c r="P13" s="77">
        <v>0</v>
      </c>
    </row>
    <row r="14" spans="1:16" x14ac:dyDescent="0.25">
      <c r="A14" s="73" t="s">
        <v>48</v>
      </c>
      <c r="B14" s="74">
        <v>0</v>
      </c>
      <c r="C14" s="74">
        <v>0</v>
      </c>
      <c r="D14" s="74">
        <v>0</v>
      </c>
      <c r="E14" s="75" t="s">
        <v>48</v>
      </c>
      <c r="F14" s="74">
        <v>147679.70000000001</v>
      </c>
      <c r="G14" s="74">
        <v>0</v>
      </c>
      <c r="H14" s="74">
        <v>0</v>
      </c>
      <c r="I14" s="75" t="s">
        <v>48</v>
      </c>
      <c r="J14" s="74">
        <v>0</v>
      </c>
      <c r="K14" s="74">
        <v>0</v>
      </c>
      <c r="L14" s="74">
        <v>0</v>
      </c>
      <c r="M14" s="75" t="s">
        <v>48</v>
      </c>
      <c r="N14" s="76">
        <f t="shared" si="0"/>
        <v>147679.70000000001</v>
      </c>
      <c r="O14" s="74">
        <v>0</v>
      </c>
      <c r="P14" s="77">
        <v>0</v>
      </c>
    </row>
    <row r="15" spans="1:16" x14ac:dyDescent="0.25">
      <c r="A15" s="73" t="s">
        <v>49</v>
      </c>
      <c r="B15" s="74">
        <v>0</v>
      </c>
      <c r="C15" s="74">
        <v>0</v>
      </c>
      <c r="D15" s="74">
        <v>0</v>
      </c>
      <c r="E15" s="75" t="s">
        <v>49</v>
      </c>
      <c r="F15" s="74">
        <v>141894.46</v>
      </c>
      <c r="G15" s="74">
        <v>0</v>
      </c>
      <c r="H15" s="74">
        <v>0</v>
      </c>
      <c r="I15" s="75" t="s">
        <v>49</v>
      </c>
      <c r="J15" s="74">
        <v>0</v>
      </c>
      <c r="K15" s="74">
        <v>0</v>
      </c>
      <c r="L15" s="74">
        <v>0</v>
      </c>
      <c r="M15" s="75" t="s">
        <v>49</v>
      </c>
      <c r="N15" s="76">
        <f t="shared" si="0"/>
        <v>141894.46</v>
      </c>
      <c r="O15" s="74">
        <v>0</v>
      </c>
      <c r="P15" s="77">
        <v>0</v>
      </c>
    </row>
    <row r="16" spans="1:16" x14ac:dyDescent="0.25">
      <c r="A16" s="73" t="s">
        <v>50</v>
      </c>
      <c r="B16" s="74">
        <v>0</v>
      </c>
      <c r="C16" s="74">
        <v>0</v>
      </c>
      <c r="D16" s="74">
        <v>0</v>
      </c>
      <c r="E16" s="75" t="s">
        <v>50</v>
      </c>
      <c r="F16" s="74">
        <v>133841.60999999999</v>
      </c>
      <c r="G16" s="74">
        <v>0</v>
      </c>
      <c r="H16" s="74">
        <v>0</v>
      </c>
      <c r="I16" s="75" t="s">
        <v>50</v>
      </c>
      <c r="J16" s="74">
        <v>11025.69</v>
      </c>
      <c r="K16" s="74">
        <v>0</v>
      </c>
      <c r="L16" s="74">
        <v>0</v>
      </c>
      <c r="M16" s="75" t="s">
        <v>50</v>
      </c>
      <c r="N16" s="76">
        <f t="shared" si="0"/>
        <v>144867.29999999999</v>
      </c>
      <c r="O16" s="74">
        <v>0</v>
      </c>
      <c r="P16" s="77">
        <v>0</v>
      </c>
    </row>
    <row r="17" spans="1:16" ht="15.75" thickBot="1" x14ac:dyDescent="0.3">
      <c r="A17" s="78" t="s">
        <v>51</v>
      </c>
      <c r="B17" s="79">
        <v>0</v>
      </c>
      <c r="C17" s="79">
        <v>0</v>
      </c>
      <c r="D17" s="79">
        <v>0</v>
      </c>
      <c r="E17" s="80" t="s">
        <v>51</v>
      </c>
      <c r="F17" s="79">
        <v>0</v>
      </c>
      <c r="G17" s="79">
        <v>0</v>
      </c>
      <c r="H17" s="79">
        <v>0</v>
      </c>
      <c r="I17" s="80" t="s">
        <v>51</v>
      </c>
      <c r="J17" s="79">
        <f>139940.94+143022.87+9000</f>
        <v>291963.81</v>
      </c>
      <c r="K17" s="79">
        <v>0</v>
      </c>
      <c r="L17" s="79">
        <v>0</v>
      </c>
      <c r="M17" s="80" t="s">
        <v>51</v>
      </c>
      <c r="N17" s="81">
        <f t="shared" si="0"/>
        <v>291963.81</v>
      </c>
      <c r="O17" s="79">
        <v>0</v>
      </c>
      <c r="P17" s="82">
        <v>0</v>
      </c>
    </row>
    <row r="18" spans="1:16" ht="15.75" thickBot="1" x14ac:dyDescent="0.3">
      <c r="A18" s="83" t="s">
        <v>52</v>
      </c>
      <c r="B18" s="84">
        <f>SUM(B6:B17)</f>
        <v>787488.44999999984</v>
      </c>
      <c r="C18" s="84">
        <f>SUM(C6:C17)</f>
        <v>0</v>
      </c>
      <c r="D18" s="84">
        <f>SUM(D6:D17)</f>
        <v>0</v>
      </c>
      <c r="E18" s="85" t="s">
        <v>52</v>
      </c>
      <c r="F18" s="84">
        <f>SUM(F6:F17)</f>
        <v>853174.42999999993</v>
      </c>
      <c r="G18" s="84">
        <f>SUM(G6:G17)</f>
        <v>0</v>
      </c>
      <c r="H18" s="84">
        <f>SUM(H6:H17)</f>
        <v>0</v>
      </c>
      <c r="I18" s="85" t="s">
        <v>52</v>
      </c>
      <c r="J18" s="84">
        <f>SUM(J6:J17)</f>
        <v>302989.5</v>
      </c>
      <c r="K18" s="84">
        <f>SUM(K6:K17)</f>
        <v>0</v>
      </c>
      <c r="L18" s="84">
        <f>SUM(L6:L17)</f>
        <v>0</v>
      </c>
      <c r="M18" s="85" t="s">
        <v>52</v>
      </c>
      <c r="N18" s="84">
        <f>SUM(N6:N17)</f>
        <v>1943652.38</v>
      </c>
      <c r="O18" s="84">
        <f>SUM(O6:O17)</f>
        <v>0</v>
      </c>
      <c r="P18" s="86">
        <f>SUM(P6:P17)</f>
        <v>0</v>
      </c>
    </row>
    <row r="19" spans="1:16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x14ac:dyDescent="0.25">
      <c r="A20" s="170" t="s">
        <v>55</v>
      </c>
      <c r="B20" s="171"/>
      <c r="C20" s="171"/>
      <c r="D20" s="172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x14ac:dyDescent="0.25">
      <c r="A21" s="173" t="s">
        <v>63</v>
      </c>
      <c r="B21" s="165"/>
      <c r="C21" s="165"/>
      <c r="D21" s="174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1:16" ht="15.75" thickBot="1" x14ac:dyDescent="0.3">
      <c r="A22" s="175" t="s">
        <v>67</v>
      </c>
      <c r="B22" s="176"/>
      <c r="C22" s="176"/>
      <c r="D22" s="17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ht="33" customHeight="1" x14ac:dyDescent="0.25">
      <c r="A23" s="62"/>
      <c r="B23" s="63" t="s">
        <v>53</v>
      </c>
      <c r="C23" s="88" t="s">
        <v>68</v>
      </c>
      <c r="D23" s="65" t="s">
        <v>24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ht="15.75" thickBot="1" x14ac:dyDescent="0.3">
      <c r="A24" s="66" t="s">
        <v>37</v>
      </c>
      <c r="B24" s="67">
        <v>2023</v>
      </c>
      <c r="C24" s="67">
        <v>2024</v>
      </c>
      <c r="D24" s="68">
        <v>2025</v>
      </c>
      <c r="E24" s="113" t="s">
        <v>107</v>
      </c>
      <c r="F24" s="122">
        <f>'Coomcat Triagem'!F2</f>
        <v>3.9199999999999999E-2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x14ac:dyDescent="0.25">
      <c r="A25" s="89" t="s">
        <v>40</v>
      </c>
      <c r="B25" s="76">
        <v>0</v>
      </c>
      <c r="C25" s="76">
        <f>20162.31+76013.97</f>
        <v>96176.28</v>
      </c>
      <c r="D25" s="76">
        <f>C36</f>
        <v>152000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x14ac:dyDescent="0.25">
      <c r="A26" s="75" t="s">
        <v>41</v>
      </c>
      <c r="B26" s="74">
        <v>0</v>
      </c>
      <c r="C26" s="74">
        <v>92053.49</v>
      </c>
      <c r="D26" s="116">
        <f>D25*(1+F24)</f>
        <v>157958.39999999999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x14ac:dyDescent="0.25">
      <c r="A27" s="75" t="s">
        <v>42</v>
      </c>
      <c r="B27" s="74">
        <v>0</v>
      </c>
      <c r="C27" s="74">
        <v>0</v>
      </c>
      <c r="D27" s="74">
        <f>D26</f>
        <v>157958.39999999999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 x14ac:dyDescent="0.25">
      <c r="A28" s="75" t="s">
        <v>43</v>
      </c>
      <c r="B28" s="74">
        <v>0</v>
      </c>
      <c r="C28" s="74">
        <f>135796.4+141773.68</f>
        <v>277570.07999999996</v>
      </c>
      <c r="D28" s="74">
        <f t="shared" ref="D28:D36" si="1">D27</f>
        <v>157958.39999999999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x14ac:dyDescent="0.25">
      <c r="A29" s="75" t="s">
        <v>44</v>
      </c>
      <c r="B29" s="74">
        <v>0</v>
      </c>
      <c r="C29" s="74">
        <v>150798.54</v>
      </c>
      <c r="D29" s="74">
        <f t="shared" si="1"/>
        <v>157958.39999999999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x14ac:dyDescent="0.25">
      <c r="A30" s="75" t="s">
        <v>45</v>
      </c>
      <c r="B30" s="74">
        <v>0</v>
      </c>
      <c r="C30" s="190">
        <v>153084.35</v>
      </c>
      <c r="D30" s="74">
        <f t="shared" si="1"/>
        <v>157958.39999999999</v>
      </c>
      <c r="E30" s="87">
        <f>(C30+C29)/2</f>
        <v>151941.44500000001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x14ac:dyDescent="0.25">
      <c r="A31" s="75" t="s">
        <v>46</v>
      </c>
      <c r="B31" s="74">
        <v>0</v>
      </c>
      <c r="C31" s="190">
        <v>142268.49</v>
      </c>
      <c r="D31" s="74">
        <f t="shared" si="1"/>
        <v>157958.39999999999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6" x14ac:dyDescent="0.25">
      <c r="A32" s="75" t="s">
        <v>47</v>
      </c>
      <c r="B32" s="74">
        <v>0</v>
      </c>
      <c r="C32" s="190">
        <v>140673.12</v>
      </c>
      <c r="D32" s="74">
        <f t="shared" si="1"/>
        <v>157958.39999999999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x14ac:dyDescent="0.25">
      <c r="A33" s="75" t="s">
        <v>48</v>
      </c>
      <c r="B33" s="74">
        <v>0</v>
      </c>
      <c r="C33" s="190">
        <v>153790.65</v>
      </c>
      <c r="D33" s="74">
        <f t="shared" si="1"/>
        <v>157958.39999999999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x14ac:dyDescent="0.25">
      <c r="A34" s="75" t="s">
        <v>49</v>
      </c>
      <c r="B34" s="74">
        <v>0</v>
      </c>
      <c r="C34" s="102">
        <v>152000</v>
      </c>
      <c r="D34" s="74">
        <f t="shared" si="1"/>
        <v>157958.39999999999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1:16" x14ac:dyDescent="0.25">
      <c r="A35" s="75" t="s">
        <v>50</v>
      </c>
      <c r="B35" s="74"/>
      <c r="C35" s="102">
        <v>152000</v>
      </c>
      <c r="D35" s="74">
        <f t="shared" si="1"/>
        <v>157958.39999999999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ht="15.75" thickBot="1" x14ac:dyDescent="0.3">
      <c r="A36" s="90" t="s">
        <v>51</v>
      </c>
      <c r="B36" s="91"/>
      <c r="C36" s="102">
        <v>152000</v>
      </c>
      <c r="D36" s="74">
        <f t="shared" si="1"/>
        <v>157958.39999999999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15.75" thickBot="1" x14ac:dyDescent="0.3">
      <c r="A37" s="83" t="s">
        <v>52</v>
      </c>
      <c r="B37" s="84">
        <f>SUM(B25:B36)</f>
        <v>0</v>
      </c>
      <c r="C37" s="84">
        <f>SUM(C25:C36)</f>
        <v>1662415</v>
      </c>
      <c r="D37" s="86">
        <f>SUM(D25:D36)</f>
        <v>1889542.3999999997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ht="27.75" customHeight="1" thickBot="1" x14ac:dyDescent="0.3">
      <c r="A38" s="162" t="s">
        <v>71</v>
      </c>
      <c r="B38" s="163"/>
      <c r="C38" s="92">
        <v>2100000</v>
      </c>
      <c r="D38" s="93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ht="18" customHeight="1" thickBot="1" x14ac:dyDescent="0.3">
      <c r="A39" s="83" t="s">
        <v>72</v>
      </c>
      <c r="B39" s="94"/>
      <c r="C39" s="95">
        <f>C38-C37</f>
        <v>437585</v>
      </c>
      <c r="D39" s="9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x14ac:dyDescent="0.25">
      <c r="A41" s="87" t="s">
        <v>73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x14ac:dyDescent="0.25">
      <c r="A42" s="87" t="s">
        <v>70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1:16" x14ac:dyDescent="0.25">
      <c r="A43" s="87" t="s">
        <v>64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x14ac:dyDescent="0.25">
      <c r="A44" s="87" t="s">
        <v>74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1:16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1:16" x14ac:dyDescent="0.25">
      <c r="A46" s="104" t="s">
        <v>96</v>
      </c>
      <c r="B46" s="10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1:16" x14ac:dyDescent="0.25">
      <c r="A47" s="105" t="s">
        <v>94</v>
      </c>
      <c r="B47" s="106">
        <v>45306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5">
      <c r="A48" s="105" t="s">
        <v>95</v>
      </c>
      <c r="B48" s="107">
        <v>45671</v>
      </c>
    </row>
    <row r="49" spans="1:2" x14ac:dyDescent="0.25">
      <c r="A49" s="105" t="s">
        <v>97</v>
      </c>
      <c r="B49" s="108" t="s">
        <v>98</v>
      </c>
    </row>
  </sheetData>
  <mergeCells count="16">
    <mergeCell ref="A38:B38"/>
    <mergeCell ref="M1:P1"/>
    <mergeCell ref="M2:P2"/>
    <mergeCell ref="M3:P3"/>
    <mergeCell ref="A1:D1"/>
    <mergeCell ref="A2:D2"/>
    <mergeCell ref="A3:D3"/>
    <mergeCell ref="E1:H1"/>
    <mergeCell ref="E2:H2"/>
    <mergeCell ref="E3:H3"/>
    <mergeCell ref="A20:D20"/>
    <mergeCell ref="A21:D21"/>
    <mergeCell ref="A22:D22"/>
    <mergeCell ref="I1:L1"/>
    <mergeCell ref="I2:L2"/>
    <mergeCell ref="I3:L3"/>
  </mergeCells>
  <pageMargins left="0.511811024" right="0.511811024" top="0.78740157499999996" bottom="0.78740157499999996" header="0.31496062000000002" footer="0.31496062000000002"/>
  <pageSetup paperSize="9" scale="4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1"/>
  <sheetViews>
    <sheetView workbookViewId="0">
      <selection activeCell="D17" sqref="D17"/>
    </sheetView>
  </sheetViews>
  <sheetFormatPr defaultRowHeight="15" x14ac:dyDescent="0.25"/>
  <cols>
    <col min="1" max="1" width="27.140625" customWidth="1"/>
    <col min="2" max="4" width="16.7109375" customWidth="1"/>
    <col min="5" max="5" width="11.5703125" bestFit="1" customWidth="1"/>
  </cols>
  <sheetData>
    <row r="1" spans="1:6" x14ac:dyDescent="0.25">
      <c r="A1" s="178" t="s">
        <v>86</v>
      </c>
      <c r="B1" s="179"/>
      <c r="C1" s="179"/>
      <c r="D1" s="180"/>
    </row>
    <row r="2" spans="1:6" x14ac:dyDescent="0.25">
      <c r="A2" s="151" t="s">
        <v>2</v>
      </c>
      <c r="B2" s="152"/>
      <c r="C2" s="152"/>
      <c r="D2" s="153"/>
      <c r="E2" s="113" t="s">
        <v>107</v>
      </c>
      <c r="F2" s="122">
        <f>'Tazay Transp'!F24</f>
        <v>3.9199999999999999E-2</v>
      </c>
    </row>
    <row r="3" spans="1:6" x14ac:dyDescent="0.25">
      <c r="A3" s="151" t="s">
        <v>36</v>
      </c>
      <c r="B3" s="152"/>
      <c r="C3" s="152"/>
      <c r="D3" s="153"/>
    </row>
    <row r="4" spans="1:6" x14ac:dyDescent="0.25">
      <c r="A4" s="33"/>
      <c r="B4" s="43" t="s">
        <v>53</v>
      </c>
      <c r="C4" s="43" t="s">
        <v>38</v>
      </c>
      <c r="D4" s="43" t="s">
        <v>24</v>
      </c>
    </row>
    <row r="5" spans="1:6" x14ac:dyDescent="0.25">
      <c r="A5" s="43" t="s">
        <v>37</v>
      </c>
      <c r="B5" s="43">
        <v>2023</v>
      </c>
      <c r="C5" s="43">
        <v>2024</v>
      </c>
      <c r="D5" s="43">
        <v>2025</v>
      </c>
    </row>
    <row r="6" spans="1:6" x14ac:dyDescent="0.25">
      <c r="A6" s="7" t="s">
        <v>40</v>
      </c>
      <c r="B6" s="8">
        <f>35438.88</f>
        <v>35438.879999999997</v>
      </c>
      <c r="C6" s="100">
        <f>10332.11+B17</f>
        <v>136097.30499999999</v>
      </c>
      <c r="D6" s="8">
        <f>C17</f>
        <v>139274.24000000002</v>
      </c>
    </row>
    <row r="7" spans="1:6" x14ac:dyDescent="0.25">
      <c r="A7" s="7" t="s">
        <v>41</v>
      </c>
      <c r="B7" s="8">
        <v>0</v>
      </c>
      <c r="C7" s="8">
        <v>144241.1</v>
      </c>
      <c r="D7" s="8">
        <f>D6</f>
        <v>139274.24000000002</v>
      </c>
    </row>
    <row r="8" spans="1:6" x14ac:dyDescent="0.25">
      <c r="A8" s="7" t="s">
        <v>42</v>
      </c>
      <c r="B8" s="8">
        <f>106575.05+95600.76</f>
        <v>202175.81</v>
      </c>
      <c r="C8" s="8">
        <v>118076.98</v>
      </c>
      <c r="D8" s="8">
        <f t="shared" ref="D8:D16" si="0">D7</f>
        <v>139274.24000000002</v>
      </c>
      <c r="E8" s="4"/>
    </row>
    <row r="9" spans="1:6" x14ac:dyDescent="0.25">
      <c r="A9" s="7" t="s">
        <v>43</v>
      </c>
      <c r="B9" s="8">
        <v>116225.9</v>
      </c>
      <c r="C9" s="8">
        <v>123273.03</v>
      </c>
      <c r="D9" s="8">
        <f t="shared" si="0"/>
        <v>139274.24000000002</v>
      </c>
      <c r="E9" s="4"/>
    </row>
    <row r="10" spans="1:6" x14ac:dyDescent="0.25">
      <c r="A10" s="7" t="s">
        <v>44</v>
      </c>
      <c r="B10" s="8">
        <f>101748.6</f>
        <v>101748.6</v>
      </c>
      <c r="C10" s="8">
        <v>131124.59</v>
      </c>
      <c r="D10" s="8">
        <f t="shared" si="0"/>
        <v>139274.24000000002</v>
      </c>
      <c r="E10" s="4"/>
    </row>
    <row r="11" spans="1:6" x14ac:dyDescent="0.25">
      <c r="A11" s="7" t="s">
        <v>45</v>
      </c>
      <c r="B11" s="8">
        <v>123371.06</v>
      </c>
      <c r="C11" s="8">
        <v>133173.38</v>
      </c>
      <c r="D11" s="8">
        <f t="shared" si="0"/>
        <v>139274.24000000002</v>
      </c>
      <c r="E11" s="5"/>
    </row>
    <row r="12" spans="1:6" x14ac:dyDescent="0.25">
      <c r="A12" s="7" t="s">
        <v>46</v>
      </c>
      <c r="B12" s="8">
        <v>116498.35</v>
      </c>
      <c r="C12" s="188">
        <v>123765.64</v>
      </c>
      <c r="D12" s="8">
        <f t="shared" si="0"/>
        <v>139274.24000000002</v>
      </c>
    </row>
    <row r="13" spans="1:6" x14ac:dyDescent="0.25">
      <c r="A13" s="7" t="s">
        <v>47</v>
      </c>
      <c r="B13" s="8">
        <v>116405.47</v>
      </c>
      <c r="C13" s="188">
        <v>123464.65</v>
      </c>
      <c r="D13" s="8">
        <f t="shared" si="0"/>
        <v>139274.24000000002</v>
      </c>
    </row>
    <row r="14" spans="1:6" x14ac:dyDescent="0.25">
      <c r="A14" s="7" t="s">
        <v>48</v>
      </c>
      <c r="B14" s="8">
        <v>121620.37</v>
      </c>
      <c r="C14" s="188">
        <v>132741.49</v>
      </c>
      <c r="D14" s="8">
        <f t="shared" si="0"/>
        <v>139274.24000000002</v>
      </c>
    </row>
    <row r="15" spans="1:6" x14ac:dyDescent="0.25">
      <c r="A15" s="7" t="s">
        <v>49</v>
      </c>
      <c r="B15" s="8">
        <f>119446.29+2293.16</f>
        <v>121739.45</v>
      </c>
      <c r="C15" s="100">
        <v>134000</v>
      </c>
      <c r="D15" s="8">
        <f t="shared" si="0"/>
        <v>139274.24000000002</v>
      </c>
    </row>
    <row r="16" spans="1:6" x14ac:dyDescent="0.25">
      <c r="A16" s="7" t="s">
        <v>50</v>
      </c>
      <c r="B16" s="8">
        <v>124970.02</v>
      </c>
      <c r="C16" s="100">
        <v>134000</v>
      </c>
      <c r="D16" s="8">
        <f t="shared" si="0"/>
        <v>139274.24000000002</v>
      </c>
    </row>
    <row r="17" spans="1:4" ht="15.75" thickBot="1" x14ac:dyDescent="0.3">
      <c r="A17" s="11" t="s">
        <v>51</v>
      </c>
      <c r="B17" s="101">
        <f>(121530.39+130000)/2</f>
        <v>125765.19500000001</v>
      </c>
      <c r="C17" s="114">
        <f>C16*1.03936</f>
        <v>139274.24000000002</v>
      </c>
      <c r="D17" s="115">
        <f>D16*(1+F2)</f>
        <v>144733.79020800002</v>
      </c>
    </row>
    <row r="18" spans="1:4" ht="15.75" thickBot="1" x14ac:dyDescent="0.3">
      <c r="A18" s="35" t="s">
        <v>52</v>
      </c>
      <c r="B18" s="36">
        <f>SUM(B6:B17)</f>
        <v>1305959.105</v>
      </c>
      <c r="C18" s="191">
        <f>SUM(C6:C17)</f>
        <v>1573232.405</v>
      </c>
      <c r="D18" s="54">
        <f>SUM(D6:D17)</f>
        <v>1676750.4302080001</v>
      </c>
    </row>
    <row r="19" spans="1:4" ht="15.75" thickBot="1" x14ac:dyDescent="0.3">
      <c r="A19" s="49" t="s">
        <v>84</v>
      </c>
      <c r="B19" s="50"/>
      <c r="C19" s="51">
        <f>6400000</f>
        <v>6400000</v>
      </c>
      <c r="D19" s="52"/>
    </row>
    <row r="20" spans="1:4" ht="15.75" thickBot="1" x14ac:dyDescent="0.3">
      <c r="A20" s="35" t="s">
        <v>85</v>
      </c>
      <c r="B20" s="39"/>
      <c r="C20" s="34">
        <f>C19-C18</f>
        <v>4826767.5949999997</v>
      </c>
      <c r="D20" s="40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8" spans="1:4" x14ac:dyDescent="0.25">
      <c r="A28" s="104" t="s">
        <v>93</v>
      </c>
      <c r="B28" s="105"/>
    </row>
    <row r="29" spans="1:4" x14ac:dyDescent="0.25">
      <c r="A29" s="105" t="s">
        <v>94</v>
      </c>
      <c r="B29" s="106">
        <v>44896</v>
      </c>
    </row>
    <row r="30" spans="1:4" x14ac:dyDescent="0.25">
      <c r="A30" s="105" t="s">
        <v>95</v>
      </c>
      <c r="B30" s="107">
        <v>45626</v>
      </c>
    </row>
    <row r="31" spans="1:4" x14ac:dyDescent="0.25">
      <c r="A31" s="105" t="s">
        <v>97</v>
      </c>
      <c r="B31" s="110" t="s">
        <v>98</v>
      </c>
    </row>
  </sheetData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1"/>
  <sheetViews>
    <sheetView workbookViewId="0">
      <selection activeCell="C18" sqref="C18"/>
    </sheetView>
  </sheetViews>
  <sheetFormatPr defaultRowHeight="15" x14ac:dyDescent="0.25"/>
  <cols>
    <col min="1" max="1" width="27.140625" customWidth="1"/>
    <col min="2" max="4" width="16.7109375" customWidth="1"/>
    <col min="6" max="6" width="11.5703125" bestFit="1" customWidth="1"/>
  </cols>
  <sheetData>
    <row r="1" spans="1:6" x14ac:dyDescent="0.25">
      <c r="A1" s="181" t="s">
        <v>16</v>
      </c>
      <c r="B1" s="182"/>
      <c r="C1" s="182"/>
      <c r="D1" s="183"/>
    </row>
    <row r="2" spans="1:6" x14ac:dyDescent="0.25">
      <c r="A2" s="184" t="s">
        <v>15</v>
      </c>
      <c r="B2" s="152"/>
      <c r="C2" s="152"/>
      <c r="D2" s="185"/>
      <c r="E2" s="113" t="s">
        <v>107</v>
      </c>
      <c r="F2" s="122">
        <f>'Conesul Transbordo'!F2</f>
        <v>3.9199999999999999E-2</v>
      </c>
    </row>
    <row r="3" spans="1:6" ht="15.75" thickBot="1" x14ac:dyDescent="0.3">
      <c r="A3" s="186" t="s">
        <v>17</v>
      </c>
      <c r="B3" s="158"/>
      <c r="C3" s="158"/>
      <c r="D3" s="187"/>
    </row>
    <row r="4" spans="1:6" x14ac:dyDescent="0.25">
      <c r="A4" s="25"/>
      <c r="B4" s="26" t="s">
        <v>53</v>
      </c>
      <c r="C4" s="26" t="s">
        <v>38</v>
      </c>
      <c r="D4" s="28" t="s">
        <v>24</v>
      </c>
    </row>
    <row r="5" spans="1:6" ht="15.75" thickBot="1" x14ac:dyDescent="0.3">
      <c r="A5" s="29" t="s">
        <v>37</v>
      </c>
      <c r="B5" s="30">
        <v>2023</v>
      </c>
      <c r="C5" s="30">
        <v>2024</v>
      </c>
      <c r="D5" s="31">
        <v>2025</v>
      </c>
    </row>
    <row r="6" spans="1:6" x14ac:dyDescent="0.25">
      <c r="A6" s="60" t="s">
        <v>40</v>
      </c>
      <c r="B6" s="10">
        <v>0</v>
      </c>
      <c r="C6" s="103">
        <f>38345.32+B17</f>
        <v>411581.19500000001</v>
      </c>
      <c r="D6" s="61">
        <f>C17</f>
        <v>516287.50000000006</v>
      </c>
    </row>
    <row r="7" spans="1:6" x14ac:dyDescent="0.25">
      <c r="A7" s="17" t="s">
        <v>41</v>
      </c>
      <c r="B7" s="8">
        <v>0</v>
      </c>
      <c r="C7" s="8">
        <v>429614.18</v>
      </c>
      <c r="D7" s="18">
        <f>D6</f>
        <v>516287.50000000006</v>
      </c>
    </row>
    <row r="8" spans="1:6" x14ac:dyDescent="0.25">
      <c r="A8" s="17" t="s">
        <v>42</v>
      </c>
      <c r="B8" s="8">
        <f>312422+285091.73</f>
        <v>597513.73</v>
      </c>
      <c r="C8" s="8">
        <v>351804.27</v>
      </c>
      <c r="D8" s="18">
        <f t="shared" ref="D8:D16" si="0">D7</f>
        <v>516287.50000000006</v>
      </c>
      <c r="E8" s="4"/>
    </row>
    <row r="9" spans="1:6" x14ac:dyDescent="0.25">
      <c r="A9" s="17" t="s">
        <v>43</v>
      </c>
      <c r="B9" s="8">
        <f>340628.31</f>
        <v>340628.31</v>
      </c>
      <c r="C9" s="8">
        <v>366938.1</v>
      </c>
      <c r="D9" s="18">
        <f t="shared" si="0"/>
        <v>516287.50000000006</v>
      </c>
      <c r="E9" s="4"/>
    </row>
    <row r="10" spans="1:6" x14ac:dyDescent="0.25">
      <c r="A10" s="17" t="s">
        <v>44</v>
      </c>
      <c r="B10" s="8">
        <f>298895.41</f>
        <v>298895.40999999997</v>
      </c>
      <c r="C10" s="8">
        <v>390615.81</v>
      </c>
      <c r="D10" s="18">
        <f t="shared" si="0"/>
        <v>516287.50000000006</v>
      </c>
      <c r="E10" s="4"/>
    </row>
    <row r="11" spans="1:6" x14ac:dyDescent="0.25">
      <c r="A11" s="17" t="s">
        <v>45</v>
      </c>
      <c r="B11" s="8">
        <f>193668.74+189542.03</f>
        <v>383210.77</v>
      </c>
      <c r="C11" s="8">
        <f>161027.64+59063.56+170501.58</f>
        <v>390592.78</v>
      </c>
      <c r="D11" s="18">
        <f t="shared" si="0"/>
        <v>516287.50000000006</v>
      </c>
    </row>
    <row r="12" spans="1:6" x14ac:dyDescent="0.25">
      <c r="A12" s="17" t="s">
        <v>46</v>
      </c>
      <c r="B12" s="8">
        <f>362167.75</f>
        <v>362167.75</v>
      </c>
      <c r="C12" s="188">
        <v>473201.74</v>
      </c>
      <c r="D12" s="18">
        <f t="shared" si="0"/>
        <v>516287.50000000006</v>
      </c>
    </row>
    <row r="13" spans="1:6" x14ac:dyDescent="0.25">
      <c r="A13" s="17" t="s">
        <v>47</v>
      </c>
      <c r="B13" s="8">
        <f>19593.17+12201.57+17192.66+16398.66+153122.48+208158.51</f>
        <v>426667.05000000005</v>
      </c>
      <c r="C13" s="188">
        <v>381379.37</v>
      </c>
      <c r="D13" s="18">
        <f t="shared" si="0"/>
        <v>516287.50000000006</v>
      </c>
    </row>
    <row r="14" spans="1:6" x14ac:dyDescent="0.25">
      <c r="A14" s="17" t="s">
        <v>48</v>
      </c>
      <c r="B14" s="8">
        <f>841.49+55056.52+310000+7857.79</f>
        <v>373755.8</v>
      </c>
      <c r="C14" s="188">
        <v>415894.12</v>
      </c>
      <c r="D14" s="18">
        <f t="shared" si="0"/>
        <v>516287.50000000006</v>
      </c>
      <c r="F14" s="5"/>
    </row>
    <row r="15" spans="1:6" x14ac:dyDescent="0.25">
      <c r="A15" s="17" t="s">
        <v>49</v>
      </c>
      <c r="B15" s="8">
        <f>201142.21+144943.48+13227.27</f>
        <v>359312.96</v>
      </c>
      <c r="C15" s="100">
        <v>401000</v>
      </c>
      <c r="D15" s="18">
        <f t="shared" si="0"/>
        <v>516287.50000000006</v>
      </c>
    </row>
    <row r="16" spans="1:6" x14ac:dyDescent="0.25">
      <c r="A16" s="17" t="s">
        <v>50</v>
      </c>
      <c r="B16" s="8">
        <f>16679.73+349724.77</f>
        <v>366404.5</v>
      </c>
      <c r="C16" s="100">
        <v>401000</v>
      </c>
      <c r="D16" s="18">
        <f t="shared" si="0"/>
        <v>516287.50000000006</v>
      </c>
    </row>
    <row r="17" spans="1:4" ht="15.75" thickBot="1" x14ac:dyDescent="0.3">
      <c r="A17" s="59" t="s">
        <v>51</v>
      </c>
      <c r="B17" s="101">
        <f>(250275.23+109174.65+11825.35+150196.52+225000)/2</f>
        <v>373235.875</v>
      </c>
      <c r="C17" s="114">
        <f>C16*1.2875</f>
        <v>516287.50000000006</v>
      </c>
      <c r="D17" s="117">
        <f>D16*(1+F2)</f>
        <v>536525.97</v>
      </c>
    </row>
    <row r="18" spans="1:4" ht="15.75" thickBot="1" x14ac:dyDescent="0.3">
      <c r="A18" s="35" t="s">
        <v>52</v>
      </c>
      <c r="B18" s="53">
        <f>SUM(B6:B17)</f>
        <v>3881792.1549999998</v>
      </c>
      <c r="C18" s="53">
        <f>SUM(C6:C17)</f>
        <v>4929909.0650000004</v>
      </c>
      <c r="D18" s="54">
        <f>SUM(D6:D17)</f>
        <v>6215688.4700000007</v>
      </c>
    </row>
    <row r="19" spans="1:4" ht="39.75" customHeight="1" thickBot="1" x14ac:dyDescent="0.3">
      <c r="A19" s="160" t="s">
        <v>87</v>
      </c>
      <c r="B19" s="161"/>
      <c r="C19" s="51">
        <f>'Conesul Transbordo'!C20</f>
        <v>4826767.5949999997</v>
      </c>
      <c r="D19" s="52"/>
    </row>
    <row r="20" spans="1:4" ht="33" customHeight="1" thickBot="1" x14ac:dyDescent="0.3">
      <c r="A20" s="35" t="s">
        <v>85</v>
      </c>
      <c r="B20" s="39"/>
      <c r="C20" s="34">
        <f>C19-C18</f>
        <v>-103141.47000000067</v>
      </c>
      <c r="D20" s="40"/>
    </row>
    <row r="22" spans="1:4" x14ac:dyDescent="0.25">
      <c r="A22" t="s">
        <v>73</v>
      </c>
    </row>
    <row r="23" spans="1:4" x14ac:dyDescent="0.25">
      <c r="A23" t="s">
        <v>70</v>
      </c>
    </row>
    <row r="24" spans="1:4" x14ac:dyDescent="0.25">
      <c r="A24" t="s">
        <v>64</v>
      </c>
    </row>
    <row r="28" spans="1:4" x14ac:dyDescent="0.25">
      <c r="A28" s="104" t="s">
        <v>96</v>
      </c>
      <c r="B28" s="105"/>
    </row>
    <row r="29" spans="1:4" x14ac:dyDescent="0.25">
      <c r="A29" s="105" t="s">
        <v>94</v>
      </c>
      <c r="B29" s="106">
        <v>44697</v>
      </c>
    </row>
    <row r="30" spans="1:4" x14ac:dyDescent="0.25">
      <c r="A30" s="105" t="s">
        <v>95</v>
      </c>
      <c r="B30" s="107">
        <v>45612</v>
      </c>
    </row>
    <row r="31" spans="1:4" x14ac:dyDescent="0.25">
      <c r="A31" s="105" t="s">
        <v>97</v>
      </c>
      <c r="B31" s="108" t="s">
        <v>98</v>
      </c>
    </row>
  </sheetData>
  <mergeCells count="4">
    <mergeCell ref="A19:B19"/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Receita Requerida</vt:lpstr>
      <vt:lpstr>inadimplencia</vt:lpstr>
      <vt:lpstr>Social</vt:lpstr>
      <vt:lpstr>Desp. Admin</vt:lpstr>
      <vt:lpstr>Custos Diretos</vt:lpstr>
      <vt:lpstr>Conesul Rural</vt:lpstr>
      <vt:lpstr>Conesul Convencional</vt:lpstr>
      <vt:lpstr>Conesul Mecan</vt:lpstr>
      <vt:lpstr>Conesul Seletiva</vt:lpstr>
      <vt:lpstr>Coomcat Coleta</vt:lpstr>
      <vt:lpstr>Coomcat Triagem</vt:lpstr>
      <vt:lpstr>Tazay Transp</vt:lpstr>
      <vt:lpstr>Conesul Transbordo</vt:lpstr>
      <vt:lpstr>CRVR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2024-06-25T19:15:05Z</cp:lastPrinted>
  <dcterms:created xsi:type="dcterms:W3CDTF">2023-08-27T20:48:19Z</dcterms:created>
  <dcterms:modified xsi:type="dcterms:W3CDTF">2024-10-17T14:28:46Z</dcterms:modified>
</cp:coreProperties>
</file>